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activeTab="1"/>
  </bookViews>
  <sheets>
    <sheet name="คีย์" sheetId="1" r:id="rId1"/>
    <sheet name="สรุป" sheetId="2" r:id="rId2"/>
    <sheet name="ตาราง1" sheetId="3" r:id="rId3"/>
    <sheet name="ตาราง2" sheetId="4" r:id="rId4"/>
    <sheet name="ข้อเสนอแนะ" sheetId="5" r:id="rId5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<sst xmlns="http://schemas.openxmlformats.org/spreadsheetml/2006/main" count="161" uniqueCount="129">
  <si>
    <t>ลำดับที่</t>
  </si>
  <si>
    <t>รายการ</t>
  </si>
  <si>
    <t>ความถี่</t>
  </si>
  <si>
    <t>คณะ</t>
  </si>
  <si>
    <t>SD</t>
  </si>
  <si>
    <t>รวม</t>
  </si>
  <si>
    <t xml:space="preserve"> - 3 -</t>
  </si>
  <si>
    <t>บทสรุปสำหรับผู้บริหาร</t>
  </si>
  <si>
    <t>ตอนที่ 1  ข้อมูลทั่วไปเกี่ยวกับผู้ตอบแบบประเมิน</t>
  </si>
  <si>
    <t>จำนวน</t>
  </si>
  <si>
    <t>ร้อยละ</t>
  </si>
  <si>
    <t>ระดับความคิดเห็น</t>
  </si>
  <si>
    <t xml:space="preserve"> - 5 -</t>
  </si>
  <si>
    <t xml:space="preserve"> - 4 -</t>
  </si>
  <si>
    <t>ศึกษาศาสตร์</t>
  </si>
  <si>
    <t>สถานภาพ</t>
  </si>
  <si>
    <t xml:space="preserve"> </t>
  </si>
  <si>
    <t>ไม่ระบุ</t>
  </si>
  <si>
    <t>สถาปัตยกรรมศาสตร์</t>
  </si>
  <si>
    <t>ที่</t>
  </si>
  <si>
    <t>วิศวกรรมศาสตร์</t>
  </si>
  <si>
    <t>ตาราง 1  แสดงจำนวนและร้อยละของผู้ตอบแบบประเมิน จำแนกตามสถานภาพ</t>
  </si>
  <si>
    <t>สาธารณสุขศาสตร์</t>
  </si>
  <si>
    <t>วิทยาศาสตร์</t>
  </si>
  <si>
    <t>สังคมศาสตร์</t>
  </si>
  <si>
    <t>สหเวชศาสตร์</t>
  </si>
  <si>
    <t>พยาบาลศาสตร์</t>
  </si>
  <si>
    <t>1. ด้านกระบวนการขั้นตอนการให้บริการ</t>
  </si>
  <si>
    <t xml:space="preserve">   1.1 ความสะดวกในการลงทะเบียน</t>
  </si>
  <si>
    <t xml:space="preserve">    2.1 เจ้าหน้าที่ให้บริการด้วยความเต็มใจ ยิ้มแย้ม แจ่มใส</t>
  </si>
  <si>
    <t xml:space="preserve">    2.2 เจ้าหน้าที่ให้บริการด้วยความรวดเร็ว</t>
  </si>
  <si>
    <t>2. ด้านเจ้าหน้าที่ผู้ให้บริการ</t>
  </si>
  <si>
    <t>3. ด้านสิ่งอำนวยความสะดวก</t>
  </si>
  <si>
    <t>เภสัชศาสตร์</t>
  </si>
  <si>
    <t>ตาราง 1 (ต่อ)</t>
  </si>
  <si>
    <t>ตอนที่ 4 ข้อเสนอแนะ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</si>
  <si>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</si>
  <si>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</si>
  <si>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</si>
  <si>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</si>
  <si>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ความเพียงพอของเครื่องคอมพิวเตอร์</t>
  </si>
  <si>
    <t xml:space="preserve">   3.6 ความสะอาดภายในห้องจัดอบรม</t>
  </si>
  <si>
    <t xml:space="preserve">   5.1 ความเพียงพอของเอกสารประกอบการอบรม</t>
  </si>
  <si>
    <t xml:space="preserve">   5.2 ความชัดเจน ความสมบูรณ์ของเอกสารประกอบการอบรม</t>
  </si>
  <si>
    <t xml:space="preserve">   5.3 เอกสารมีเนื้อหาสาระตรงตามความต้องการของท่าน</t>
  </si>
  <si>
    <t xml:space="preserve">   5.4 ประโยชน์ที่ได้รับจากเอกสารประกอบการอบรม</t>
  </si>
  <si>
    <t xml:space="preserve"> - คณะเกษตรศาสตร์ ทรัพยากรธรรมชาติและสิ่งแวดล้อม</t>
  </si>
  <si>
    <t xml:space="preserve"> - คณะวิทยาศาสตร์</t>
  </si>
  <si>
    <t xml:space="preserve"> - คณะวิศวกรรมศาสตร์</t>
  </si>
  <si>
    <t xml:space="preserve"> - คณะสถาปัตยกรรมศาสตร์</t>
  </si>
  <si>
    <t xml:space="preserve"> - คณะศึกษาศาสตร์</t>
  </si>
  <si>
    <t xml:space="preserve"> - คณะพยาบาลศาสตร์</t>
  </si>
  <si>
    <t xml:space="preserve"> - คณะเภสัชศาสตร์</t>
  </si>
  <si>
    <t xml:space="preserve"> - คณะสหเวชศาสตร์</t>
  </si>
  <si>
    <t xml:space="preserve"> - คณะสาธารณสุขศาสตร์</t>
  </si>
  <si>
    <t>คณาจารย์บัณฑิตศึกษา</t>
  </si>
  <si>
    <t>ผู้ดูแลระบบ</t>
  </si>
  <si>
    <t>วิทยาลัยโลจิสติกส์และโซ่อุปทาน</t>
  </si>
  <si>
    <t>วิทยาศาสตร์การแพทย์</t>
  </si>
  <si>
    <t>เกษตรศาสตร์ฯ</t>
  </si>
  <si>
    <t>มนุษยศาสตร์</t>
  </si>
  <si>
    <t>วิทยาการจัดการฯ</t>
  </si>
  <si>
    <t>แพทยศาสตร์</t>
  </si>
  <si>
    <t>ทันตแพทยศาสตร์</t>
  </si>
  <si>
    <t>วิทยาลัยพลังงานทดแทน</t>
  </si>
  <si>
    <t>นิติศาสตร์</t>
  </si>
  <si>
    <t>เจ้าหน้าที่</t>
  </si>
  <si>
    <t>วิทยาลัยเพื่อการค้นคว้าระดับรากฐาน</t>
  </si>
  <si>
    <t>ผลการประเมินกิจกรรมอบรมการใช้โปรแกรม Turnitin ในการตรวจสอบการคัดลอกผลงานวิชาการ</t>
  </si>
  <si>
    <t xml:space="preserve">              จากการจัดกิจกรรมอบรมการใช้โปรแกรม Turnitin ในการตรวจสอบการคัดลอกผลงานวิชาการ </t>
  </si>
  <si>
    <t>สถานภาพ/คณะ</t>
  </si>
  <si>
    <t xml:space="preserve"> - ไม่ระบุ</t>
  </si>
  <si>
    <t xml:space="preserve"> - คณะแพทยศาสตร์</t>
  </si>
  <si>
    <t xml:space="preserve"> - คณะทันตแพทยศาสตร์</t>
  </si>
  <si>
    <t xml:space="preserve"> - คณะมนุษยศาสตร์</t>
  </si>
  <si>
    <t xml:space="preserve"> - คณะสังคมศาสตร์</t>
  </si>
  <si>
    <t xml:space="preserve"> - วิทยาลัยโลจิสติกส์และโซ่อุปทาน</t>
  </si>
  <si>
    <t xml:space="preserve"> - คณะวิทยาศาสตร์การแพทย์</t>
  </si>
  <si>
    <t xml:space="preserve"> - วิทยาลัยพลังงานทดแทน</t>
  </si>
  <si>
    <t>ตอนที่ 2  ความคิดเห็นเกี่ยวกับกิจกรรมฯ</t>
  </si>
  <si>
    <t xml:space="preserve">   1.2 ความเหมาะสมของวันที่จัดกิจกรรม</t>
  </si>
  <si>
    <t xml:space="preserve">   1.3 ความเหมาะสมของระยะเวลาในการจัดกิจกรรม</t>
  </si>
  <si>
    <t>4. ด้านคุณภาพการให้บริการ (กิจกรรมอบรมการใช้โปรแกรม Turnitin)</t>
  </si>
  <si>
    <t xml:space="preserve">   4.1 ท่านได้รับความรู้เกี่ยวกับการใช้โปรแกรม Turnitin หลังจากที่ได้รับการอบรม</t>
  </si>
  <si>
    <t xml:space="preserve">        ในครั้งนี้แล้วอยู่ในระดับใด</t>
  </si>
  <si>
    <t xml:space="preserve">   4.2 ท่านจะนำโปรแกรมนี้ไปประยุกต์ใช้กับการทำวิจัยของท่านและนิสิตได้มากน้อย</t>
  </si>
  <si>
    <t xml:space="preserve">        เพียงใด</t>
  </si>
  <si>
    <t xml:space="preserve">   4.3 ความเหมาะสมของวิทยากร คุณจิรวัฒน์ พรหมพร</t>
  </si>
  <si>
    <t xml:space="preserve">          จากการจัดกิจกรรมอบรมการใช้โปรแกรม Turnitin ในการตรวจสอบการคัดลอกผลงานวิชาการ</t>
  </si>
  <si>
    <t>ตาราง 2  แสดงค่าเฉลี่ย ส่วนเบี่ยงเบนมาตรฐาน และระดับความคิดเห็นเกี่ยวกับกิจกรรมฯ</t>
  </si>
  <si>
    <t xml:space="preserve">          การสอบถามความคิดเห็นเกี่ยวกับการจัดกิจกรรมฯ พบว่า ผู้ตอบแบบสอบถามมีความคิดเห็นโดยรวม</t>
  </si>
  <si>
    <t>5. ด้านเอกสารประกอบกิจกรรม</t>
  </si>
  <si>
    <t xml:space="preserve">        จากตาราง 2  การสอบถามความคิดเห็นเกี่ยวกับการจัดกิจกรรมฯ พบว่า ผู้ตอบแบบสอบถาม</t>
  </si>
  <si>
    <t>นิสิตระดับบัณฑิตศึกษา</t>
  </si>
  <si>
    <t>เอกสารควรเป็นไปตามคำบรรยาย</t>
  </si>
  <si>
    <t>การลงทะเบียนเข้าร่วมโครงการผ่านระบบอินเตอร์เน็ตไม่ประสบความสำเร็จ 
เพราะไม่พบรายชื่อในใบลงชื่อเข้าร่วมโครงการ</t>
  </si>
  <si>
    <t>ควรมีแผนที่แนะนำอาคารที่จัดอบรม</t>
  </si>
  <si>
    <t>วิทยากรไปเร็วกว่าอินเตอร์เน็ตทำให้บางคนตามไม่ทัน</t>
  </si>
  <si>
    <t>วิทยากรอธิบายได้ชัดเจนเข้าใจง่าย</t>
  </si>
  <si>
    <t>วิทยากรออกเสียงคำในภาษาอังกฤษไม่ชัดเจนทำให้เกิดความสับสนในการใช้โปรแกรม</t>
  </si>
  <si>
    <t>ไม่ระบุสถานภาพ</t>
  </si>
  <si>
    <t>ระบบคอมพิวเตอร์ไม่ดี</t>
  </si>
  <si>
    <t>security blocked ทำให้การใช้งานโปรแกรมค่อนข้างล่าช้า</t>
  </si>
  <si>
    <t>ควรมีเจ้าหน้าที่อำนวยความสะดวกด้านเครื่องคอมพิวเตอร์</t>
  </si>
  <si>
    <t>วันที่ 11 - 12 ธันวาคม 2555</t>
  </si>
  <si>
    <r>
      <t xml:space="preserve">มหาวิทยาลัยนเรศวร พบว่า มีผู้เข้าร่วมโครงการจำนวนทั้งสิ้น </t>
    </r>
    <r>
      <rPr>
        <sz val="16"/>
        <color indexed="8"/>
        <rFont val="TH SarabunPSK"/>
        <family val="2"/>
      </rPr>
      <t>45 คน</t>
    </r>
    <r>
      <rPr>
        <sz val="16"/>
        <rFont val="TH SarabunPSK"/>
        <family val="2"/>
      </rPr>
      <t xml:space="preserve"> และมีผู้ตอบแบบประเมิน จำนวน 43 คน </t>
    </r>
  </si>
  <si>
    <t>คิดเป็นร้อยละ 95.56 โดยมีรายละเอียดดังนี้</t>
  </si>
  <si>
    <t xml:space="preserve"> - คณะบริหารธุรกิจ เศรษฐศาสตร์และการสื่อสาร</t>
  </si>
  <si>
    <t>ไม่ระบุสถานภาพและคณะที่สังกัด</t>
  </si>
  <si>
    <t xml:space="preserve">          จากตาราง 1 พบว่า ผู้ตอบแบบประเมินส่วนใหญ่เป็นนิสิตระดับบัณฑิตศึกษา ร้อยละ 55.81 จาก</t>
  </si>
  <si>
    <t xml:space="preserve">คณะเกษตรศาสตร์ ทรัพยากรธรรมชาติและสิ่งแวดล้อม มากที่สุด  (ร้อยละ 13.95)  รองลงมา ได้แก่ </t>
  </si>
  <si>
    <t>คณาจารย์บัณฑิตศึกษา  จากคณะวิทยาศาสตร์การแพทย์ มากที่สุด (ร้อยละ 11.63)</t>
  </si>
  <si>
    <t xml:space="preserve"> - 2 -</t>
  </si>
  <si>
    <t>N = 43</t>
  </si>
  <si>
    <t>มีความคิดเห็นโดยรวมอยู่ในระดับมาก (ค่าเฉลี่ย 4.35)  โดยมีความพึงพอใจด้านสิ่งอำนวยความสะดวก เรื่อง</t>
  </si>
  <si>
    <t xml:space="preserve">ความพอเพียงของเครื่องคอมพิวเตอร์มีค่าเฉลี่ยสูงที่สุด  (ค่าเฉลี่ย 4.58) ความพึงพอใจอยู่ในระดับมากที่สุด </t>
  </si>
  <si>
    <t>ในวันที่ 11 - 12 ธันวาคม 2555 ณ ห้อง SC1-304 ชั้น 3 อาคารสำนักงานเลขานุการ คณะวิทยาศาสตร์</t>
  </si>
  <si>
    <r>
      <t xml:space="preserve">มหาวิทยาลัยนเรศวร พบว่า มีผู้เข้าร่วมโครงการจำนวนทั้งสิ้น </t>
    </r>
    <r>
      <rPr>
        <sz val="16"/>
        <color indexed="8"/>
        <rFont val="TH SarabunPSK"/>
        <family val="2"/>
      </rPr>
      <t>45 คน</t>
    </r>
    <r>
      <rPr>
        <sz val="16"/>
        <rFont val="TH SarabunPSK"/>
        <family val="2"/>
      </rPr>
      <t xml:space="preserve"> และมีผู้ตอบแบบประเมิน จำนวน </t>
    </r>
  </si>
  <si>
    <t>43 คน คิดเป็นร้อยละ 95.56 ผู้ตอบแบบประเมินส่วนใหญ่เป็นนิสิตระดับบัณฑิตศึกษา ร้อยละ 55.81</t>
  </si>
  <si>
    <t xml:space="preserve">จากคณะเกษตรศาสตร์ มากที่สุด (ร้อยละ 13.95) รองลงมา ได้แก่ คณาจารย์บัณฑิตศึกษา </t>
  </si>
  <si>
    <t xml:space="preserve">จากคณะวิทยาศาสตร์การแพทย์  มากที่สุด (ร้อยละ 11.63) </t>
  </si>
  <si>
    <t>อยู่ในระดับมาก (ค่าเฉลี่ย 4.35) โดยมีความพึงพอใจด้านสิ่งอำนวยความสะดวก เรื่อง ความพอเพียงของ</t>
  </si>
  <si>
    <t>เครื่องคอมพิวเตอร์ อยู่ในระดับมากที่สุด (ค่าเฉลี่ย  4.58) รองลงมาคือ ความพึงพอใจด้านคุณภาพการให้</t>
  </si>
  <si>
    <t xml:space="preserve">          ข้อเสนอแนะจากการจัดกิจกรรมในครั้งนี้ คือ เอกสารควรเป็นไปตามคำบรรยาย</t>
  </si>
  <si>
    <t xml:space="preserve">บริการ (กิจกรรมอบรมการใช้โปรแกรม Turnitin) เรื่อง ความเหมาะสมของวิทยากร  คุณ  จิรวัฒน์  พรหมพร </t>
  </si>
  <si>
    <t>อยู่ในระดับมากที่สุด (ค่าเฉลี่ย 4.56)</t>
  </si>
  <si>
    <t>ณ ห้อง SC1-304 ชั้น 3 อาคารสำนักงานเลขานุการ คณะวิทยาศาสตร์ มหาวิทยาลัยนเรศวร</t>
  </si>
  <si>
    <t xml:space="preserve">ในวันที่ 11 - 12  ธันวาคม 2555 ณ ห้อง SC1-304 ชั้น 3 อาคารสำนักงานเลขานุการ คณะวิทยาศาสตร์   </t>
  </si>
  <si>
    <t>รองลงมา ได้แก่ ความเหมาะสมของวิทยากร  คุณจิรวัฒน์  พรหมพร  (ค่าเฉลี่ย 4.56) อยู่ในระดับมากที่สุด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</si>
</sst>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36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2" fontId="8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6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2" fontId="8" fillId="0" borderId="28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1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2" fontId="6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8" fillId="0" borderId="18" xfId="0" applyNumberFormat="1" applyFont="1" applyBorder="1" applyAlignment="1">
      <alignment horizontal="center"/>
    </xf>
    <xf numFmtId="0" fontId="8" fillId="0" borderId="27" xfId="0" applyFont="1" applyFill="1" applyBorder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7" fillId="0" borderId="30" xfId="0" applyFont="1" applyBorder="1" applyAlignment="1">
      <alignment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/>
    </xf>
    <xf numFmtId="0" fontId="4" fillId="38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2" fontId="8" fillId="0" borderId="34" xfId="0" applyNumberFormat="1" applyFont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6" fillId="0" borderId="29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6" fillId="0" borderId="29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81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C14" sqref="C14"/>
    </sheetView>
  </sheetViews>
  <sheetFormatPr defaultColWidth="8.7109375" defaultRowHeight="12.75"/>
  <cols>
    <col min="1" max="1" width="7.00390625" style="5" customWidth="1"/>
    <col min="2" max="2" width="10.140625" style="5" customWidth="1"/>
    <col min="3" max="3" width="31.7109375" style="5" bestFit="1" customWidth="1"/>
    <col min="4" max="4" width="6.00390625" style="5" customWidth="1"/>
    <col min="5" max="10" width="5.00390625" style="5" customWidth="1"/>
    <col min="11" max="11" width="4.8515625" style="5" customWidth="1"/>
    <col min="12" max="12" width="4.57421875" style="5" customWidth="1"/>
    <col min="13" max="18" width="4.8515625" style="5" bestFit="1" customWidth="1"/>
    <col min="19" max="19" width="4.7109375" style="5" customWidth="1"/>
    <col min="20" max="21" width="5.140625" style="5" customWidth="1"/>
    <col min="22" max="16384" width="8.7109375" style="1" customWidth="1"/>
  </cols>
  <sheetData>
    <row r="3" spans="1:21" ht="24">
      <c r="A3" s="27" t="s">
        <v>0</v>
      </c>
      <c r="B3" s="29" t="s">
        <v>15</v>
      </c>
      <c r="C3" s="61" t="s">
        <v>3</v>
      </c>
      <c r="D3" s="49"/>
      <c r="E3" s="49"/>
      <c r="F3" s="50"/>
      <c r="G3" s="50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24">
      <c r="A4" s="27"/>
      <c r="B4" s="29"/>
      <c r="C4" s="61"/>
      <c r="D4" s="27">
        <v>1.1</v>
      </c>
      <c r="E4" s="27">
        <v>1.2</v>
      </c>
      <c r="F4" s="27">
        <v>1.3</v>
      </c>
      <c r="G4" s="63">
        <v>2.1</v>
      </c>
      <c r="H4" s="63">
        <v>2.2</v>
      </c>
      <c r="I4" s="75">
        <v>3.1</v>
      </c>
      <c r="J4" s="75">
        <v>3.2</v>
      </c>
      <c r="K4" s="75">
        <v>3.3</v>
      </c>
      <c r="L4" s="75">
        <v>3.4</v>
      </c>
      <c r="M4" s="75">
        <v>3.5</v>
      </c>
      <c r="N4" s="75">
        <v>3.6</v>
      </c>
      <c r="O4" s="76">
        <v>4.1</v>
      </c>
      <c r="P4" s="76">
        <v>4.2</v>
      </c>
      <c r="Q4" s="76">
        <v>4.3</v>
      </c>
      <c r="R4" s="30">
        <v>5.1</v>
      </c>
      <c r="S4" s="30">
        <v>5.2</v>
      </c>
      <c r="T4" s="30">
        <v>5.3</v>
      </c>
      <c r="U4" s="77">
        <v>5.4</v>
      </c>
    </row>
    <row r="5" spans="1:23" ht="24">
      <c r="A5" s="62">
        <v>1</v>
      </c>
      <c r="B5" s="5">
        <v>2</v>
      </c>
      <c r="C5" s="5">
        <v>11</v>
      </c>
      <c r="D5" s="5">
        <v>5</v>
      </c>
      <c r="E5" s="5">
        <v>5</v>
      </c>
      <c r="F5" s="5">
        <v>5</v>
      </c>
      <c r="G5" s="5">
        <v>5</v>
      </c>
      <c r="H5" s="5">
        <v>5</v>
      </c>
      <c r="I5" s="5">
        <v>5</v>
      </c>
      <c r="J5" s="5">
        <v>5</v>
      </c>
      <c r="K5" s="5">
        <v>5</v>
      </c>
      <c r="L5" s="5">
        <v>5</v>
      </c>
      <c r="M5" s="5">
        <v>5</v>
      </c>
      <c r="N5" s="5">
        <v>5</v>
      </c>
      <c r="O5" s="5">
        <v>4</v>
      </c>
      <c r="P5" s="5">
        <v>4</v>
      </c>
      <c r="Q5" s="5">
        <v>5</v>
      </c>
      <c r="R5" s="5">
        <v>4</v>
      </c>
      <c r="S5" s="5">
        <v>4</v>
      </c>
      <c r="T5" s="5">
        <v>5</v>
      </c>
      <c r="U5" s="5">
        <v>4</v>
      </c>
      <c r="W5" s="33">
        <f>AVERAGE(D5:U5)</f>
        <v>4.722222222222222</v>
      </c>
    </row>
    <row r="6" spans="1:23" ht="24">
      <c r="A6" s="62">
        <v>2</v>
      </c>
      <c r="B6" s="5">
        <v>1</v>
      </c>
      <c r="C6" s="5">
        <v>8</v>
      </c>
      <c r="D6" s="5">
        <v>5</v>
      </c>
      <c r="E6" s="5">
        <v>5</v>
      </c>
      <c r="F6" s="5">
        <v>5</v>
      </c>
      <c r="G6" s="5">
        <v>5</v>
      </c>
      <c r="H6" s="5">
        <v>5</v>
      </c>
      <c r="I6" s="5">
        <v>5</v>
      </c>
      <c r="J6" s="5">
        <v>5</v>
      </c>
      <c r="K6" s="5">
        <v>5</v>
      </c>
      <c r="L6" s="5">
        <v>5</v>
      </c>
      <c r="M6" s="5">
        <v>5</v>
      </c>
      <c r="N6" s="5">
        <v>5</v>
      </c>
      <c r="O6" s="5">
        <v>5</v>
      </c>
      <c r="P6" s="5">
        <v>5</v>
      </c>
      <c r="Q6" s="5">
        <v>5</v>
      </c>
      <c r="R6" s="5">
        <v>5</v>
      </c>
      <c r="S6" s="5">
        <v>5</v>
      </c>
      <c r="T6" s="5">
        <v>5</v>
      </c>
      <c r="U6" s="5">
        <v>5</v>
      </c>
      <c r="W6" s="33">
        <f aca="true" t="shared" si="0" ref="W6:W47">AVERAGE(D6:U6)</f>
        <v>5</v>
      </c>
    </row>
    <row r="7" spans="1:23" ht="24">
      <c r="A7" s="62">
        <v>3</v>
      </c>
      <c r="B7" s="5">
        <v>1</v>
      </c>
      <c r="C7" s="5">
        <v>15</v>
      </c>
      <c r="D7" s="5">
        <v>5</v>
      </c>
      <c r="E7" s="5">
        <v>5</v>
      </c>
      <c r="F7" s="5">
        <v>5</v>
      </c>
      <c r="G7" s="5">
        <v>5</v>
      </c>
      <c r="H7" s="5">
        <v>5</v>
      </c>
      <c r="I7" s="5">
        <v>5</v>
      </c>
      <c r="J7" s="5">
        <v>5</v>
      </c>
      <c r="K7" s="5">
        <v>5</v>
      </c>
      <c r="L7" s="5">
        <v>5</v>
      </c>
      <c r="M7" s="5">
        <v>5</v>
      </c>
      <c r="N7" s="5">
        <v>5</v>
      </c>
      <c r="O7" s="5">
        <v>5</v>
      </c>
      <c r="P7" s="5">
        <v>5</v>
      </c>
      <c r="Q7" s="5">
        <v>5</v>
      </c>
      <c r="R7" s="5">
        <v>5</v>
      </c>
      <c r="S7" s="5">
        <v>5</v>
      </c>
      <c r="T7" s="5">
        <v>5</v>
      </c>
      <c r="U7" s="5">
        <v>5</v>
      </c>
      <c r="W7" s="33">
        <f t="shared" si="0"/>
        <v>5</v>
      </c>
    </row>
    <row r="8" spans="1:23" ht="24">
      <c r="A8" s="62">
        <v>4</v>
      </c>
      <c r="B8" s="5">
        <v>1</v>
      </c>
      <c r="C8" s="5">
        <v>1</v>
      </c>
      <c r="D8" s="5">
        <v>4</v>
      </c>
      <c r="E8" s="5">
        <v>4</v>
      </c>
      <c r="F8" s="5">
        <v>4</v>
      </c>
      <c r="G8" s="5">
        <v>4</v>
      </c>
      <c r="H8" s="5">
        <v>4</v>
      </c>
      <c r="I8" s="5">
        <v>4</v>
      </c>
      <c r="J8" s="5">
        <v>4</v>
      </c>
      <c r="K8" s="5">
        <v>4</v>
      </c>
      <c r="L8" s="5">
        <v>4</v>
      </c>
      <c r="M8" s="5">
        <v>4</v>
      </c>
      <c r="N8" s="5">
        <v>4</v>
      </c>
      <c r="O8" s="5">
        <v>4</v>
      </c>
      <c r="P8" s="5">
        <v>4</v>
      </c>
      <c r="Q8" s="5">
        <v>5</v>
      </c>
      <c r="R8" s="5">
        <v>4</v>
      </c>
      <c r="S8" s="5">
        <v>3</v>
      </c>
      <c r="T8" s="5">
        <v>3</v>
      </c>
      <c r="U8" s="5">
        <v>4</v>
      </c>
      <c r="W8" s="33">
        <f t="shared" si="0"/>
        <v>3.9444444444444446</v>
      </c>
    </row>
    <row r="9" spans="1:23" ht="24">
      <c r="A9" s="62">
        <v>5</v>
      </c>
      <c r="B9" s="5">
        <v>1</v>
      </c>
      <c r="C9" s="5">
        <v>3</v>
      </c>
      <c r="D9" s="5">
        <v>5</v>
      </c>
      <c r="E9" s="5">
        <v>5</v>
      </c>
      <c r="F9" s="5">
        <v>5</v>
      </c>
      <c r="G9" s="5">
        <v>5</v>
      </c>
      <c r="H9" s="5">
        <v>5</v>
      </c>
      <c r="I9" s="5">
        <v>5</v>
      </c>
      <c r="J9" s="5">
        <v>5</v>
      </c>
      <c r="K9" s="5">
        <v>5</v>
      </c>
      <c r="L9" s="5">
        <v>5</v>
      </c>
      <c r="M9" s="5">
        <v>5</v>
      </c>
      <c r="N9" s="5">
        <v>5</v>
      </c>
      <c r="O9" s="5">
        <v>5</v>
      </c>
      <c r="P9" s="5">
        <v>5</v>
      </c>
      <c r="Q9" s="5">
        <v>5</v>
      </c>
      <c r="R9" s="5">
        <v>5</v>
      </c>
      <c r="S9" s="5">
        <v>5</v>
      </c>
      <c r="T9" s="5">
        <v>5</v>
      </c>
      <c r="U9" s="5">
        <v>5</v>
      </c>
      <c r="W9" s="33">
        <f t="shared" si="0"/>
        <v>5</v>
      </c>
    </row>
    <row r="10" spans="1:23" ht="24">
      <c r="A10" s="62">
        <v>6</v>
      </c>
      <c r="B10" s="5">
        <v>1</v>
      </c>
      <c r="C10" s="5">
        <v>10</v>
      </c>
      <c r="D10" s="5">
        <v>5</v>
      </c>
      <c r="E10" s="5">
        <v>5</v>
      </c>
      <c r="F10" s="5">
        <v>3</v>
      </c>
      <c r="G10" s="5">
        <v>5</v>
      </c>
      <c r="H10" s="5">
        <v>5</v>
      </c>
      <c r="I10" s="5">
        <v>5</v>
      </c>
      <c r="J10" s="5">
        <v>5</v>
      </c>
      <c r="K10" s="5">
        <v>5</v>
      </c>
      <c r="L10" s="5">
        <v>5</v>
      </c>
      <c r="M10" s="5">
        <v>5</v>
      </c>
      <c r="N10" s="5">
        <v>5</v>
      </c>
      <c r="O10" s="5">
        <v>5</v>
      </c>
      <c r="P10" s="5">
        <v>5</v>
      </c>
      <c r="Q10" s="5">
        <v>5</v>
      </c>
      <c r="R10" s="5">
        <v>5</v>
      </c>
      <c r="S10" s="5">
        <v>5</v>
      </c>
      <c r="T10" s="5">
        <v>5</v>
      </c>
      <c r="U10" s="5">
        <v>5</v>
      </c>
      <c r="W10" s="33">
        <f t="shared" si="0"/>
        <v>4.888888888888889</v>
      </c>
    </row>
    <row r="11" spans="1:23" ht="24">
      <c r="A11" s="62">
        <v>7</v>
      </c>
      <c r="B11" s="5">
        <v>1</v>
      </c>
      <c r="C11" s="5">
        <v>10</v>
      </c>
      <c r="D11" s="5">
        <v>5</v>
      </c>
      <c r="E11" s="5">
        <v>5</v>
      </c>
      <c r="F11" s="5">
        <v>5</v>
      </c>
      <c r="G11" s="5">
        <v>5</v>
      </c>
      <c r="H11" s="5">
        <v>5</v>
      </c>
      <c r="I11" s="5">
        <v>5</v>
      </c>
      <c r="J11" s="5">
        <v>5</v>
      </c>
      <c r="K11" s="5">
        <v>5</v>
      </c>
      <c r="L11" s="5">
        <v>5</v>
      </c>
      <c r="M11" s="5">
        <v>5</v>
      </c>
      <c r="N11" s="5">
        <v>5</v>
      </c>
      <c r="O11" s="5">
        <v>5</v>
      </c>
      <c r="P11" s="5">
        <v>5</v>
      </c>
      <c r="Q11" s="5">
        <v>5</v>
      </c>
      <c r="R11" s="5">
        <v>5</v>
      </c>
      <c r="S11" s="5">
        <v>5</v>
      </c>
      <c r="T11" s="5">
        <v>5</v>
      </c>
      <c r="U11" s="5">
        <v>5</v>
      </c>
      <c r="W11" s="33">
        <f t="shared" si="0"/>
        <v>5</v>
      </c>
    </row>
    <row r="12" spans="1:23" ht="24">
      <c r="A12" s="62">
        <v>8</v>
      </c>
      <c r="B12" s="5">
        <v>1</v>
      </c>
      <c r="C12" s="5">
        <v>1</v>
      </c>
      <c r="D12" s="5">
        <v>4</v>
      </c>
      <c r="E12" s="5">
        <v>4</v>
      </c>
      <c r="F12" s="5">
        <v>4</v>
      </c>
      <c r="G12" s="5">
        <v>4</v>
      </c>
      <c r="H12" s="5">
        <v>4</v>
      </c>
      <c r="I12" s="5">
        <v>4</v>
      </c>
      <c r="J12" s="5">
        <v>3</v>
      </c>
      <c r="K12" s="5">
        <v>4</v>
      </c>
      <c r="L12" s="5">
        <v>4</v>
      </c>
      <c r="M12" s="5">
        <v>4</v>
      </c>
      <c r="N12" s="5">
        <v>4</v>
      </c>
      <c r="O12" s="5">
        <v>4</v>
      </c>
      <c r="P12" s="5">
        <v>4</v>
      </c>
      <c r="Q12" s="5">
        <v>5</v>
      </c>
      <c r="R12" s="5">
        <v>3</v>
      </c>
      <c r="S12" s="5">
        <v>3</v>
      </c>
      <c r="T12" s="5">
        <v>3</v>
      </c>
      <c r="U12" s="5">
        <v>3</v>
      </c>
      <c r="W12" s="33">
        <f t="shared" si="0"/>
        <v>3.7777777777777777</v>
      </c>
    </row>
    <row r="13" spans="1:23" ht="24">
      <c r="A13" s="62">
        <v>9</v>
      </c>
      <c r="B13" s="5">
        <v>1</v>
      </c>
      <c r="C13" s="5">
        <v>10</v>
      </c>
      <c r="D13" s="5">
        <v>5</v>
      </c>
      <c r="E13" s="5">
        <v>5</v>
      </c>
      <c r="F13" s="5">
        <v>5</v>
      </c>
      <c r="G13" s="5">
        <v>4</v>
      </c>
      <c r="H13" s="5">
        <v>4</v>
      </c>
      <c r="I13" s="5">
        <v>5</v>
      </c>
      <c r="J13" s="5">
        <v>5</v>
      </c>
      <c r="K13" s="5">
        <v>5</v>
      </c>
      <c r="L13" s="5">
        <v>5</v>
      </c>
      <c r="M13" s="5">
        <v>5</v>
      </c>
      <c r="N13" s="5">
        <v>4</v>
      </c>
      <c r="O13" s="5">
        <v>4</v>
      </c>
      <c r="P13" s="5">
        <v>4</v>
      </c>
      <c r="Q13" s="5">
        <v>5</v>
      </c>
      <c r="R13" s="5">
        <v>4</v>
      </c>
      <c r="S13" s="5">
        <v>4</v>
      </c>
      <c r="T13" s="5">
        <v>4</v>
      </c>
      <c r="U13" s="5">
        <v>4</v>
      </c>
      <c r="W13" s="33">
        <f>AVERAGE(E13:U13)</f>
        <v>4.470588235294118</v>
      </c>
    </row>
    <row r="14" spans="1:23" ht="24">
      <c r="A14" s="62">
        <v>10</v>
      </c>
      <c r="B14" s="5">
        <v>1</v>
      </c>
      <c r="C14" s="5">
        <v>1</v>
      </c>
      <c r="D14" s="5">
        <v>4</v>
      </c>
      <c r="E14" s="5">
        <v>4</v>
      </c>
      <c r="F14" s="5">
        <v>4</v>
      </c>
      <c r="G14" s="5">
        <v>4</v>
      </c>
      <c r="H14" s="5">
        <v>4</v>
      </c>
      <c r="I14" s="5">
        <v>4</v>
      </c>
      <c r="J14" s="5">
        <v>4</v>
      </c>
      <c r="K14" s="5">
        <v>4</v>
      </c>
      <c r="L14" s="5">
        <v>4</v>
      </c>
      <c r="M14" s="5">
        <v>4</v>
      </c>
      <c r="N14" s="5">
        <v>3</v>
      </c>
      <c r="O14" s="5">
        <v>4</v>
      </c>
      <c r="P14" s="5">
        <v>4</v>
      </c>
      <c r="Q14" s="5">
        <v>4</v>
      </c>
      <c r="R14" s="5">
        <v>3</v>
      </c>
      <c r="S14" s="5">
        <v>4</v>
      </c>
      <c r="T14" s="5">
        <v>4</v>
      </c>
      <c r="U14" s="5">
        <v>4</v>
      </c>
      <c r="W14" s="33">
        <f t="shared" si="0"/>
        <v>3.888888888888889</v>
      </c>
    </row>
    <row r="15" spans="1:23" ht="24">
      <c r="A15" s="62">
        <v>11</v>
      </c>
      <c r="B15" s="5">
        <v>1</v>
      </c>
      <c r="C15" s="5">
        <v>1</v>
      </c>
      <c r="D15" s="5">
        <v>5</v>
      </c>
      <c r="E15" s="5">
        <v>5</v>
      </c>
      <c r="F15" s="5">
        <v>5</v>
      </c>
      <c r="G15" s="5">
        <v>5</v>
      </c>
      <c r="H15" s="5">
        <v>5</v>
      </c>
      <c r="I15" s="5">
        <v>5</v>
      </c>
      <c r="J15" s="5">
        <v>5</v>
      </c>
      <c r="K15" s="5">
        <v>5</v>
      </c>
      <c r="L15" s="5">
        <v>5</v>
      </c>
      <c r="M15" s="5">
        <v>5</v>
      </c>
      <c r="N15" s="5">
        <v>5</v>
      </c>
      <c r="O15" s="5">
        <v>4</v>
      </c>
      <c r="P15" s="5">
        <v>4</v>
      </c>
      <c r="Q15" s="5">
        <v>5</v>
      </c>
      <c r="R15" s="5">
        <v>4</v>
      </c>
      <c r="S15" s="5">
        <v>4</v>
      </c>
      <c r="T15" s="5">
        <v>4</v>
      </c>
      <c r="U15" s="5">
        <v>4</v>
      </c>
      <c r="W15" s="33">
        <f t="shared" si="0"/>
        <v>4.666666666666667</v>
      </c>
    </row>
    <row r="16" spans="1:23" ht="24">
      <c r="A16" s="62">
        <v>12</v>
      </c>
      <c r="B16" s="5">
        <v>1</v>
      </c>
      <c r="C16" s="5">
        <v>10</v>
      </c>
      <c r="D16" s="5">
        <v>4</v>
      </c>
      <c r="E16" s="5">
        <v>4</v>
      </c>
      <c r="F16" s="5">
        <v>4</v>
      </c>
      <c r="G16" s="5">
        <v>4</v>
      </c>
      <c r="H16" s="5">
        <v>4</v>
      </c>
      <c r="I16" s="5">
        <v>4</v>
      </c>
      <c r="J16" s="5">
        <v>5</v>
      </c>
      <c r="K16" s="5">
        <v>5</v>
      </c>
      <c r="L16" s="5">
        <v>4</v>
      </c>
      <c r="M16" s="5">
        <v>5</v>
      </c>
      <c r="N16" s="5">
        <v>4</v>
      </c>
      <c r="O16" s="5">
        <v>5</v>
      </c>
      <c r="P16" s="5">
        <v>5</v>
      </c>
      <c r="Q16" s="5">
        <v>5</v>
      </c>
      <c r="R16" s="5">
        <v>5</v>
      </c>
      <c r="S16" s="5">
        <v>5</v>
      </c>
      <c r="T16" s="5">
        <v>5</v>
      </c>
      <c r="U16" s="5">
        <v>5</v>
      </c>
      <c r="W16" s="33">
        <f t="shared" si="0"/>
        <v>4.555555555555555</v>
      </c>
    </row>
    <row r="17" spans="1:23" ht="24">
      <c r="A17" s="62">
        <v>13</v>
      </c>
      <c r="B17" s="5">
        <v>1</v>
      </c>
      <c r="C17" s="5">
        <v>3</v>
      </c>
      <c r="D17" s="5">
        <v>2</v>
      </c>
      <c r="E17" s="5">
        <v>4</v>
      </c>
      <c r="F17" s="5">
        <v>4</v>
      </c>
      <c r="G17" s="5">
        <v>5</v>
      </c>
      <c r="H17" s="5">
        <v>5</v>
      </c>
      <c r="I17" s="5">
        <v>4</v>
      </c>
      <c r="J17" s="5">
        <v>5</v>
      </c>
      <c r="K17" s="5">
        <v>5</v>
      </c>
      <c r="L17" s="5">
        <v>5</v>
      </c>
      <c r="M17" s="5">
        <v>5</v>
      </c>
      <c r="N17" s="5">
        <v>5</v>
      </c>
      <c r="O17" s="5">
        <v>5</v>
      </c>
      <c r="P17" s="5">
        <v>5</v>
      </c>
      <c r="Q17" s="5">
        <v>5</v>
      </c>
      <c r="R17" s="5">
        <v>5</v>
      </c>
      <c r="S17" s="5">
        <v>5</v>
      </c>
      <c r="T17" s="5">
        <v>5</v>
      </c>
      <c r="U17" s="5">
        <v>5</v>
      </c>
      <c r="W17" s="33">
        <f t="shared" si="0"/>
        <v>4.666666666666667</v>
      </c>
    </row>
    <row r="18" spans="1:23" ht="24">
      <c r="A18" s="62">
        <v>14</v>
      </c>
      <c r="B18" s="5">
        <v>1</v>
      </c>
      <c r="C18" s="5">
        <v>0</v>
      </c>
      <c r="D18" s="5">
        <v>4</v>
      </c>
      <c r="E18" s="5">
        <v>4</v>
      </c>
      <c r="F18" s="5">
        <v>4</v>
      </c>
      <c r="G18" s="5">
        <v>4</v>
      </c>
      <c r="H18" s="5">
        <v>4</v>
      </c>
      <c r="I18" s="5">
        <v>4</v>
      </c>
      <c r="J18" s="5">
        <v>4</v>
      </c>
      <c r="K18" s="5">
        <v>4</v>
      </c>
      <c r="L18" s="5">
        <v>4</v>
      </c>
      <c r="M18" s="5">
        <v>4</v>
      </c>
      <c r="N18" s="5">
        <v>4</v>
      </c>
      <c r="O18" s="5">
        <v>5</v>
      </c>
      <c r="P18" s="5">
        <v>5</v>
      </c>
      <c r="Q18" s="5">
        <v>5</v>
      </c>
      <c r="R18" s="5">
        <v>4</v>
      </c>
      <c r="S18" s="5">
        <v>4</v>
      </c>
      <c r="T18" s="5">
        <v>4</v>
      </c>
      <c r="U18" s="5">
        <v>5</v>
      </c>
      <c r="W18" s="33">
        <f t="shared" si="0"/>
        <v>4.222222222222222</v>
      </c>
    </row>
    <row r="19" spans="1:23" ht="24">
      <c r="A19" s="62">
        <v>15</v>
      </c>
      <c r="B19" s="5">
        <v>2</v>
      </c>
      <c r="C19" s="5">
        <v>16</v>
      </c>
      <c r="D19" s="5">
        <v>5</v>
      </c>
      <c r="E19" s="5">
        <v>5</v>
      </c>
      <c r="F19" s="5">
        <v>5</v>
      </c>
      <c r="G19" s="5">
        <v>5</v>
      </c>
      <c r="H19" s="5">
        <v>5</v>
      </c>
      <c r="I19" s="5">
        <v>5</v>
      </c>
      <c r="J19" s="5">
        <v>5</v>
      </c>
      <c r="K19" s="5">
        <v>5</v>
      </c>
      <c r="L19" s="5">
        <v>5</v>
      </c>
      <c r="M19" s="5">
        <v>5</v>
      </c>
      <c r="N19" s="5">
        <v>5</v>
      </c>
      <c r="O19" s="5">
        <v>5</v>
      </c>
      <c r="P19" s="5">
        <v>5</v>
      </c>
      <c r="Q19" s="5">
        <v>5</v>
      </c>
      <c r="R19" s="5">
        <v>4</v>
      </c>
      <c r="S19" s="5">
        <v>5</v>
      </c>
      <c r="T19" s="5">
        <v>5</v>
      </c>
      <c r="U19" s="5">
        <v>5</v>
      </c>
      <c r="W19" s="33">
        <f t="shared" si="0"/>
        <v>4.944444444444445</v>
      </c>
    </row>
    <row r="20" spans="1:23" ht="24">
      <c r="A20" s="62">
        <v>16</v>
      </c>
      <c r="B20" s="5">
        <v>2</v>
      </c>
      <c r="C20" s="5">
        <v>4</v>
      </c>
      <c r="D20" s="5">
        <v>5</v>
      </c>
      <c r="E20" s="5">
        <v>5</v>
      </c>
      <c r="F20" s="5">
        <v>3</v>
      </c>
      <c r="G20" s="5">
        <v>5</v>
      </c>
      <c r="H20" s="5">
        <v>5</v>
      </c>
      <c r="I20" s="5">
        <v>5</v>
      </c>
      <c r="J20" s="5">
        <v>5</v>
      </c>
      <c r="K20" s="5">
        <v>5</v>
      </c>
      <c r="L20" s="5">
        <v>5</v>
      </c>
      <c r="M20" s="5">
        <v>5</v>
      </c>
      <c r="N20" s="5">
        <v>5</v>
      </c>
      <c r="O20" s="5">
        <v>4</v>
      </c>
      <c r="P20" s="5">
        <v>4</v>
      </c>
      <c r="Q20" s="5">
        <v>5</v>
      </c>
      <c r="R20" s="5">
        <v>4</v>
      </c>
      <c r="S20" s="5">
        <v>4</v>
      </c>
      <c r="T20" s="5">
        <v>4</v>
      </c>
      <c r="U20" s="5">
        <v>4</v>
      </c>
      <c r="W20" s="33">
        <f t="shared" si="0"/>
        <v>4.555555555555555</v>
      </c>
    </row>
    <row r="21" spans="1:23" ht="24">
      <c r="A21" s="62">
        <v>17</v>
      </c>
      <c r="B21" s="5">
        <v>2</v>
      </c>
      <c r="C21" s="5">
        <v>4</v>
      </c>
      <c r="D21" s="5">
        <v>4</v>
      </c>
      <c r="E21" s="5">
        <v>4</v>
      </c>
      <c r="F21" s="5">
        <v>4</v>
      </c>
      <c r="G21" s="5">
        <v>4</v>
      </c>
      <c r="H21" s="5">
        <v>4</v>
      </c>
      <c r="I21" s="5">
        <v>4</v>
      </c>
      <c r="J21" s="5">
        <v>4</v>
      </c>
      <c r="K21" s="5">
        <v>4</v>
      </c>
      <c r="L21" s="5">
        <v>4</v>
      </c>
      <c r="M21" s="5">
        <v>4</v>
      </c>
      <c r="N21" s="5">
        <v>4</v>
      </c>
      <c r="O21" s="5">
        <v>3</v>
      </c>
      <c r="P21" s="5">
        <v>3</v>
      </c>
      <c r="Q21" s="5">
        <v>3</v>
      </c>
      <c r="R21" s="5">
        <v>4</v>
      </c>
      <c r="S21" s="5">
        <v>4</v>
      </c>
      <c r="T21" s="5">
        <v>4</v>
      </c>
      <c r="U21" s="5">
        <v>3</v>
      </c>
      <c r="W21" s="33">
        <f t="shared" si="0"/>
        <v>3.7777777777777777</v>
      </c>
    </row>
    <row r="22" spans="1:23" ht="24">
      <c r="A22" s="62">
        <v>18</v>
      </c>
      <c r="B22" s="5">
        <v>2</v>
      </c>
      <c r="C22" s="5">
        <v>4</v>
      </c>
      <c r="D22" s="5">
        <v>4</v>
      </c>
      <c r="E22" s="5">
        <v>3</v>
      </c>
      <c r="F22" s="5">
        <v>3</v>
      </c>
      <c r="G22" s="5">
        <v>3</v>
      </c>
      <c r="H22" s="5">
        <v>3</v>
      </c>
      <c r="I22" s="5">
        <v>4</v>
      </c>
      <c r="J22" s="5">
        <v>4</v>
      </c>
      <c r="K22" s="5">
        <v>4</v>
      </c>
      <c r="L22" s="5">
        <v>4</v>
      </c>
      <c r="M22" s="5">
        <v>4</v>
      </c>
      <c r="N22" s="5">
        <v>4</v>
      </c>
      <c r="O22" s="5">
        <v>4</v>
      </c>
      <c r="P22" s="5">
        <v>4</v>
      </c>
      <c r="Q22" s="5">
        <v>4</v>
      </c>
      <c r="R22" s="5">
        <v>4</v>
      </c>
      <c r="S22" s="5">
        <v>4</v>
      </c>
      <c r="T22" s="5">
        <v>4</v>
      </c>
      <c r="U22" s="5">
        <v>4</v>
      </c>
      <c r="W22" s="33">
        <f t="shared" si="0"/>
        <v>3.7777777777777777</v>
      </c>
    </row>
    <row r="23" spans="1:23" ht="24">
      <c r="A23" s="62">
        <v>19</v>
      </c>
      <c r="B23" s="5">
        <v>2</v>
      </c>
      <c r="C23" s="5">
        <v>4</v>
      </c>
      <c r="D23" s="5">
        <v>4</v>
      </c>
      <c r="E23" s="5">
        <v>4</v>
      </c>
      <c r="F23" s="5">
        <v>3</v>
      </c>
      <c r="G23" s="5">
        <v>4</v>
      </c>
      <c r="H23" s="5">
        <v>4</v>
      </c>
      <c r="I23" s="5">
        <v>4</v>
      </c>
      <c r="J23" s="5">
        <v>4</v>
      </c>
      <c r="K23" s="5">
        <v>4</v>
      </c>
      <c r="L23" s="5">
        <v>4</v>
      </c>
      <c r="M23" s="5">
        <v>4</v>
      </c>
      <c r="N23" s="5">
        <v>4</v>
      </c>
      <c r="O23" s="5">
        <v>5</v>
      </c>
      <c r="P23" s="5">
        <v>5</v>
      </c>
      <c r="Q23" s="5">
        <v>5</v>
      </c>
      <c r="R23" s="5">
        <v>5</v>
      </c>
      <c r="S23" s="5">
        <v>4</v>
      </c>
      <c r="T23" s="5">
        <v>5</v>
      </c>
      <c r="U23" s="5">
        <v>5</v>
      </c>
      <c r="W23" s="33">
        <f t="shared" si="0"/>
        <v>4.277777777777778</v>
      </c>
    </row>
    <row r="24" spans="1:23" ht="24">
      <c r="A24" s="62">
        <v>20</v>
      </c>
      <c r="B24" s="5">
        <v>2</v>
      </c>
      <c r="C24" s="5">
        <v>8</v>
      </c>
      <c r="D24" s="5">
        <v>4</v>
      </c>
      <c r="E24" s="5">
        <v>4</v>
      </c>
      <c r="F24" s="5">
        <v>3</v>
      </c>
      <c r="G24" s="5">
        <v>3</v>
      </c>
      <c r="H24" s="5">
        <v>3</v>
      </c>
      <c r="I24" s="5">
        <v>2</v>
      </c>
      <c r="J24" s="5">
        <v>4</v>
      </c>
      <c r="K24" s="5">
        <v>4</v>
      </c>
      <c r="L24" s="5">
        <v>4</v>
      </c>
      <c r="M24" s="5">
        <v>5</v>
      </c>
      <c r="N24" s="5">
        <v>5</v>
      </c>
      <c r="O24" s="5">
        <v>3</v>
      </c>
      <c r="P24" s="5">
        <v>4</v>
      </c>
      <c r="Q24" s="5">
        <v>2</v>
      </c>
      <c r="R24" s="5">
        <v>3</v>
      </c>
      <c r="S24" s="5">
        <v>2</v>
      </c>
      <c r="T24" s="5">
        <v>3</v>
      </c>
      <c r="U24" s="5">
        <v>3</v>
      </c>
      <c r="W24" s="33">
        <f t="shared" si="0"/>
        <v>3.388888888888889</v>
      </c>
    </row>
    <row r="25" spans="1:23" ht="24">
      <c r="A25" s="62">
        <v>21</v>
      </c>
      <c r="B25" s="5">
        <v>2</v>
      </c>
      <c r="C25" s="5">
        <v>16</v>
      </c>
      <c r="D25" s="5">
        <v>5</v>
      </c>
      <c r="E25" s="5">
        <v>5</v>
      </c>
      <c r="F25" s="5">
        <v>5</v>
      </c>
      <c r="G25" s="5">
        <v>5</v>
      </c>
      <c r="H25" s="5">
        <v>5</v>
      </c>
      <c r="I25" s="5">
        <v>4</v>
      </c>
      <c r="J25" s="5">
        <v>4</v>
      </c>
      <c r="K25" s="5">
        <v>5</v>
      </c>
      <c r="L25" s="5">
        <v>4</v>
      </c>
      <c r="M25" s="5">
        <v>5</v>
      </c>
      <c r="N25" s="5">
        <v>5</v>
      </c>
      <c r="O25" s="5">
        <v>4</v>
      </c>
      <c r="P25" s="5">
        <v>4</v>
      </c>
      <c r="Q25" s="5">
        <v>5</v>
      </c>
      <c r="R25" s="5">
        <v>4</v>
      </c>
      <c r="S25" s="5">
        <v>4</v>
      </c>
      <c r="T25" s="5">
        <v>4</v>
      </c>
      <c r="U25" s="5">
        <v>4</v>
      </c>
      <c r="W25" s="33">
        <f t="shared" si="0"/>
        <v>4.5</v>
      </c>
    </row>
    <row r="26" spans="1:23" ht="24">
      <c r="A26" s="62">
        <v>22</v>
      </c>
      <c r="B26" s="94">
        <v>4</v>
      </c>
      <c r="C26" s="5">
        <v>4</v>
      </c>
      <c r="D26" s="5">
        <v>5</v>
      </c>
      <c r="E26" s="5">
        <v>5</v>
      </c>
      <c r="F26" s="5">
        <v>3</v>
      </c>
      <c r="G26" s="5">
        <v>4</v>
      </c>
      <c r="H26" s="5">
        <v>4</v>
      </c>
      <c r="I26" s="5">
        <v>4</v>
      </c>
      <c r="J26" s="5">
        <v>4</v>
      </c>
      <c r="K26" s="5">
        <v>4</v>
      </c>
      <c r="L26" s="5">
        <v>4</v>
      </c>
      <c r="M26" s="5">
        <v>4</v>
      </c>
      <c r="N26" s="5">
        <v>2</v>
      </c>
      <c r="O26" s="5">
        <v>3</v>
      </c>
      <c r="P26" s="5">
        <v>4</v>
      </c>
      <c r="Q26" s="5">
        <v>5</v>
      </c>
      <c r="R26" s="5">
        <v>4</v>
      </c>
      <c r="S26" s="5">
        <v>4</v>
      </c>
      <c r="T26" s="5">
        <v>4</v>
      </c>
      <c r="U26" s="5">
        <v>5</v>
      </c>
      <c r="W26" s="33">
        <f t="shared" si="0"/>
        <v>4</v>
      </c>
    </row>
    <row r="27" spans="1:23" ht="24">
      <c r="A27" s="62">
        <v>23</v>
      </c>
      <c r="B27" s="94">
        <v>2</v>
      </c>
      <c r="C27" s="5">
        <v>0</v>
      </c>
      <c r="D27" s="5">
        <v>5</v>
      </c>
      <c r="E27" s="5">
        <v>4</v>
      </c>
      <c r="F27" s="5">
        <v>4</v>
      </c>
      <c r="G27" s="5">
        <v>5</v>
      </c>
      <c r="H27" s="5">
        <v>5</v>
      </c>
      <c r="I27" s="5">
        <v>4</v>
      </c>
      <c r="J27" s="5">
        <v>5</v>
      </c>
      <c r="K27" s="5">
        <v>5</v>
      </c>
      <c r="L27" s="5">
        <v>5</v>
      </c>
      <c r="M27" s="5">
        <v>5</v>
      </c>
      <c r="N27" s="5">
        <v>5</v>
      </c>
      <c r="O27" s="5">
        <v>4</v>
      </c>
      <c r="P27" s="5">
        <v>5</v>
      </c>
      <c r="Q27" s="5">
        <v>5</v>
      </c>
      <c r="R27" s="5">
        <v>4</v>
      </c>
      <c r="S27" s="5">
        <v>4</v>
      </c>
      <c r="T27" s="5">
        <v>5</v>
      </c>
      <c r="U27" s="5">
        <v>5</v>
      </c>
      <c r="W27" s="33">
        <f t="shared" si="0"/>
        <v>4.666666666666667</v>
      </c>
    </row>
    <row r="28" spans="1:23" ht="24">
      <c r="A28" s="62">
        <v>24</v>
      </c>
      <c r="B28" s="94">
        <v>2</v>
      </c>
      <c r="C28" s="5">
        <v>0</v>
      </c>
      <c r="D28" s="5">
        <v>5</v>
      </c>
      <c r="E28" s="5">
        <v>4</v>
      </c>
      <c r="F28" s="5">
        <v>5</v>
      </c>
      <c r="G28" s="5">
        <v>5</v>
      </c>
      <c r="H28" s="5">
        <v>5</v>
      </c>
      <c r="I28" s="5">
        <v>5</v>
      </c>
      <c r="J28" s="5">
        <v>4</v>
      </c>
      <c r="K28" s="5">
        <v>5</v>
      </c>
      <c r="L28" s="5">
        <v>5</v>
      </c>
      <c r="M28" s="5">
        <v>5</v>
      </c>
      <c r="N28" s="5">
        <v>5</v>
      </c>
      <c r="O28" s="5">
        <v>5</v>
      </c>
      <c r="P28" s="5">
        <v>3</v>
      </c>
      <c r="Q28" s="5">
        <v>3</v>
      </c>
      <c r="R28" s="5">
        <v>3</v>
      </c>
      <c r="S28" s="5">
        <v>3</v>
      </c>
      <c r="T28" s="5">
        <v>3</v>
      </c>
      <c r="U28" s="5">
        <v>3</v>
      </c>
      <c r="W28" s="33">
        <f t="shared" si="0"/>
        <v>4.222222222222222</v>
      </c>
    </row>
    <row r="29" spans="1:23" ht="24">
      <c r="A29" s="62">
        <v>25</v>
      </c>
      <c r="B29" s="94">
        <v>2</v>
      </c>
      <c r="C29" s="5">
        <v>8</v>
      </c>
      <c r="D29" s="5">
        <v>4</v>
      </c>
      <c r="E29" s="5">
        <v>5</v>
      </c>
      <c r="F29" s="5">
        <v>5</v>
      </c>
      <c r="G29" s="5">
        <v>4</v>
      </c>
      <c r="H29" s="5">
        <v>4</v>
      </c>
      <c r="I29" s="5">
        <v>3</v>
      </c>
      <c r="J29" s="5">
        <v>3</v>
      </c>
      <c r="K29" s="5">
        <v>4</v>
      </c>
      <c r="L29" s="5">
        <v>5</v>
      </c>
      <c r="M29" s="5">
        <v>5</v>
      </c>
      <c r="N29" s="5">
        <v>3</v>
      </c>
      <c r="O29" s="5">
        <v>5</v>
      </c>
      <c r="P29" s="5">
        <v>5</v>
      </c>
      <c r="Q29" s="5">
        <v>4</v>
      </c>
      <c r="R29" s="5">
        <v>5</v>
      </c>
      <c r="S29" s="5">
        <v>4</v>
      </c>
      <c r="T29" s="5">
        <v>4</v>
      </c>
      <c r="U29" s="5">
        <v>5</v>
      </c>
      <c r="W29" s="33">
        <f t="shared" si="0"/>
        <v>4.277777777777778</v>
      </c>
    </row>
    <row r="30" spans="1:23" ht="24">
      <c r="A30" s="62">
        <v>26</v>
      </c>
      <c r="B30" s="94">
        <v>2</v>
      </c>
      <c r="C30" s="5">
        <v>0</v>
      </c>
      <c r="D30" s="5">
        <v>5</v>
      </c>
      <c r="E30" s="5">
        <v>4</v>
      </c>
      <c r="F30" s="5">
        <v>4</v>
      </c>
      <c r="G30" s="5">
        <v>4</v>
      </c>
      <c r="H30" s="5">
        <v>4</v>
      </c>
      <c r="I30" s="5">
        <v>5</v>
      </c>
      <c r="J30" s="5">
        <v>4</v>
      </c>
      <c r="K30" s="5">
        <v>4</v>
      </c>
      <c r="L30" s="5">
        <v>4</v>
      </c>
      <c r="M30" s="5">
        <v>5</v>
      </c>
      <c r="N30" s="5">
        <v>5</v>
      </c>
      <c r="O30" s="5">
        <v>4</v>
      </c>
      <c r="P30" s="5">
        <v>5</v>
      </c>
      <c r="Q30" s="5">
        <v>4</v>
      </c>
      <c r="R30" s="5">
        <v>4</v>
      </c>
      <c r="S30" s="5">
        <v>4</v>
      </c>
      <c r="T30" s="5">
        <v>5</v>
      </c>
      <c r="U30" s="5">
        <v>4</v>
      </c>
      <c r="W30" s="33">
        <f t="shared" si="0"/>
        <v>4.333333333333333</v>
      </c>
    </row>
    <row r="31" spans="1:23" ht="24">
      <c r="A31" s="62">
        <v>27</v>
      </c>
      <c r="B31" s="5">
        <v>0</v>
      </c>
      <c r="C31" s="5">
        <v>0</v>
      </c>
      <c r="D31" s="5">
        <v>4</v>
      </c>
      <c r="E31" s="5">
        <v>3</v>
      </c>
      <c r="G31" s="5">
        <v>3</v>
      </c>
      <c r="H31" s="5">
        <v>3</v>
      </c>
      <c r="I31" s="5">
        <v>4</v>
      </c>
      <c r="J31" s="5">
        <v>4</v>
      </c>
      <c r="K31" s="5">
        <v>4</v>
      </c>
      <c r="L31" s="5">
        <v>4</v>
      </c>
      <c r="M31" s="5">
        <v>3</v>
      </c>
      <c r="N31" s="5">
        <v>3</v>
      </c>
      <c r="O31" s="5">
        <v>3</v>
      </c>
      <c r="P31" s="5">
        <v>3</v>
      </c>
      <c r="Q31" s="5">
        <v>4</v>
      </c>
      <c r="R31" s="5">
        <v>3</v>
      </c>
      <c r="S31" s="5">
        <v>3</v>
      </c>
      <c r="T31" s="5">
        <v>4</v>
      </c>
      <c r="U31" s="5">
        <v>4</v>
      </c>
      <c r="W31" s="33">
        <f t="shared" si="0"/>
        <v>3.4705882352941178</v>
      </c>
    </row>
    <row r="32" spans="1:23" ht="24">
      <c r="A32" s="62">
        <v>28</v>
      </c>
      <c r="B32" s="5">
        <v>2</v>
      </c>
      <c r="C32" s="5">
        <v>9</v>
      </c>
      <c r="D32" s="5">
        <v>5</v>
      </c>
      <c r="E32" s="5">
        <v>5</v>
      </c>
      <c r="F32" s="5">
        <v>5</v>
      </c>
      <c r="G32" s="5">
        <v>5</v>
      </c>
      <c r="H32" s="5">
        <v>5</v>
      </c>
      <c r="J32" s="5">
        <v>3</v>
      </c>
      <c r="K32" s="5">
        <v>5</v>
      </c>
      <c r="L32" s="5">
        <v>5</v>
      </c>
      <c r="M32" s="5">
        <v>5</v>
      </c>
      <c r="N32" s="5">
        <v>5</v>
      </c>
      <c r="O32" s="5">
        <v>4</v>
      </c>
      <c r="P32" s="5">
        <v>4</v>
      </c>
      <c r="Q32" s="5">
        <v>5</v>
      </c>
      <c r="R32" s="5">
        <v>5</v>
      </c>
      <c r="S32" s="5">
        <v>3</v>
      </c>
      <c r="T32" s="5">
        <v>3</v>
      </c>
      <c r="U32" s="5">
        <v>4</v>
      </c>
      <c r="W32" s="33">
        <f t="shared" si="0"/>
        <v>4.470588235294118</v>
      </c>
    </row>
    <row r="33" spans="1:23" ht="24">
      <c r="A33" s="62">
        <v>29</v>
      </c>
      <c r="B33" s="5">
        <v>1</v>
      </c>
      <c r="C33" s="5">
        <v>3</v>
      </c>
      <c r="D33" s="5">
        <v>5</v>
      </c>
      <c r="E33" s="5">
        <v>5</v>
      </c>
      <c r="F33" s="5">
        <v>5</v>
      </c>
      <c r="G33" s="5">
        <v>5</v>
      </c>
      <c r="H33" s="5">
        <v>5</v>
      </c>
      <c r="I33" s="5">
        <v>5</v>
      </c>
      <c r="J33" s="5">
        <v>5</v>
      </c>
      <c r="K33" s="5">
        <v>5</v>
      </c>
      <c r="L33" s="5">
        <v>5</v>
      </c>
      <c r="M33" s="5">
        <v>5</v>
      </c>
      <c r="N33" s="5">
        <v>5</v>
      </c>
      <c r="O33" s="5">
        <v>4</v>
      </c>
      <c r="P33" s="5">
        <v>4</v>
      </c>
      <c r="Q33" s="5">
        <v>4</v>
      </c>
      <c r="R33" s="5">
        <v>4</v>
      </c>
      <c r="S33" s="5">
        <v>4</v>
      </c>
      <c r="T33" s="5">
        <v>4</v>
      </c>
      <c r="U33" s="5">
        <v>4</v>
      </c>
      <c r="W33" s="33">
        <f t="shared" si="0"/>
        <v>4.611111111111111</v>
      </c>
    </row>
    <row r="34" spans="1:23" ht="24">
      <c r="A34" s="62">
        <v>30</v>
      </c>
      <c r="B34" s="5">
        <v>1</v>
      </c>
      <c r="C34" s="5">
        <v>3</v>
      </c>
      <c r="D34" s="5">
        <v>5</v>
      </c>
      <c r="E34" s="5">
        <v>4</v>
      </c>
      <c r="F34" s="5">
        <v>5</v>
      </c>
      <c r="G34" s="5">
        <v>5</v>
      </c>
      <c r="H34" s="5">
        <v>5</v>
      </c>
      <c r="I34" s="5">
        <v>5</v>
      </c>
      <c r="J34" s="5">
        <v>5</v>
      </c>
      <c r="K34" s="5">
        <v>5</v>
      </c>
      <c r="L34" s="5">
        <v>5</v>
      </c>
      <c r="M34" s="5">
        <v>5</v>
      </c>
      <c r="N34" s="5">
        <v>5</v>
      </c>
      <c r="O34" s="5">
        <v>4</v>
      </c>
      <c r="P34" s="5">
        <v>4</v>
      </c>
      <c r="Q34" s="5">
        <v>5</v>
      </c>
      <c r="R34" s="5">
        <v>5</v>
      </c>
      <c r="S34" s="5">
        <v>5</v>
      </c>
      <c r="T34" s="5">
        <v>5</v>
      </c>
      <c r="U34" s="5">
        <v>5</v>
      </c>
      <c r="W34" s="33">
        <f t="shared" si="0"/>
        <v>4.833333333333333</v>
      </c>
    </row>
    <row r="35" spans="1:23" ht="24">
      <c r="A35" s="62">
        <v>31</v>
      </c>
      <c r="B35" s="5">
        <v>2</v>
      </c>
      <c r="C35" s="5">
        <v>4</v>
      </c>
      <c r="D35" s="5">
        <v>5</v>
      </c>
      <c r="E35" s="5">
        <v>5</v>
      </c>
      <c r="F35" s="5">
        <v>5</v>
      </c>
      <c r="G35" s="5">
        <v>4</v>
      </c>
      <c r="H35" s="5">
        <v>3</v>
      </c>
      <c r="I35" s="5">
        <v>3</v>
      </c>
      <c r="J35" s="5">
        <v>3</v>
      </c>
      <c r="K35" s="5">
        <v>4</v>
      </c>
      <c r="L35" s="5">
        <v>4</v>
      </c>
      <c r="M35" s="5">
        <v>2</v>
      </c>
      <c r="N35" s="5">
        <v>4</v>
      </c>
      <c r="O35" s="5">
        <v>4</v>
      </c>
      <c r="P35" s="5">
        <v>5</v>
      </c>
      <c r="Q35" s="5">
        <v>5</v>
      </c>
      <c r="R35" s="5">
        <v>5</v>
      </c>
      <c r="S35" s="5">
        <v>5</v>
      </c>
      <c r="T35" s="5">
        <v>5</v>
      </c>
      <c r="U35" s="5">
        <v>5</v>
      </c>
      <c r="W35" s="33">
        <f t="shared" si="0"/>
        <v>4.222222222222222</v>
      </c>
    </row>
    <row r="36" spans="1:23" ht="24">
      <c r="A36" s="62">
        <v>32</v>
      </c>
      <c r="B36" s="5">
        <v>1</v>
      </c>
      <c r="C36" s="5">
        <v>3</v>
      </c>
      <c r="D36" s="5">
        <v>5</v>
      </c>
      <c r="E36" s="5">
        <v>4</v>
      </c>
      <c r="F36" s="5">
        <v>4</v>
      </c>
      <c r="G36" s="5">
        <v>5</v>
      </c>
      <c r="H36" s="5">
        <v>5</v>
      </c>
      <c r="I36" s="5">
        <v>4</v>
      </c>
      <c r="J36" s="5">
        <v>4</v>
      </c>
      <c r="K36" s="5">
        <v>3</v>
      </c>
      <c r="L36" s="5">
        <v>4</v>
      </c>
      <c r="M36" s="5">
        <v>4</v>
      </c>
      <c r="N36" s="5">
        <v>4</v>
      </c>
      <c r="O36" s="5">
        <v>4</v>
      </c>
      <c r="P36" s="5">
        <v>5</v>
      </c>
      <c r="Q36" s="5">
        <v>4</v>
      </c>
      <c r="R36" s="5">
        <v>5</v>
      </c>
      <c r="S36" s="5">
        <v>4</v>
      </c>
      <c r="T36" s="5">
        <v>4</v>
      </c>
      <c r="U36" s="5">
        <v>4</v>
      </c>
      <c r="W36" s="33">
        <f t="shared" si="0"/>
        <v>4.222222222222222</v>
      </c>
    </row>
    <row r="37" spans="1:23" ht="24">
      <c r="A37" s="62">
        <v>33</v>
      </c>
      <c r="B37" s="5">
        <v>2</v>
      </c>
      <c r="C37" s="5">
        <v>4</v>
      </c>
      <c r="D37" s="5">
        <v>5</v>
      </c>
      <c r="E37" s="5">
        <v>4</v>
      </c>
      <c r="F37" s="5">
        <v>4</v>
      </c>
      <c r="G37" s="5">
        <v>5</v>
      </c>
      <c r="H37" s="5">
        <v>5</v>
      </c>
      <c r="I37" s="5">
        <v>3</v>
      </c>
      <c r="J37" s="5">
        <v>3</v>
      </c>
      <c r="K37" s="5">
        <v>3</v>
      </c>
      <c r="L37" s="5">
        <v>3</v>
      </c>
      <c r="M37" s="5">
        <v>5</v>
      </c>
      <c r="N37" s="5">
        <v>5</v>
      </c>
      <c r="O37" s="5">
        <v>4</v>
      </c>
      <c r="P37" s="5">
        <v>4</v>
      </c>
      <c r="Q37" s="5">
        <v>4</v>
      </c>
      <c r="R37" s="5">
        <v>4</v>
      </c>
      <c r="S37" s="5">
        <v>4</v>
      </c>
      <c r="T37" s="5">
        <v>4</v>
      </c>
      <c r="U37" s="5">
        <v>4</v>
      </c>
      <c r="W37" s="33">
        <f t="shared" si="0"/>
        <v>4.055555555555555</v>
      </c>
    </row>
    <row r="38" spans="1:23" ht="24">
      <c r="A38" s="62">
        <v>34</v>
      </c>
      <c r="B38" s="5">
        <v>2</v>
      </c>
      <c r="C38" s="5">
        <v>0</v>
      </c>
      <c r="D38" s="5">
        <v>5</v>
      </c>
      <c r="E38" s="5">
        <v>4</v>
      </c>
      <c r="F38" s="5">
        <v>3</v>
      </c>
      <c r="G38" s="5">
        <v>5</v>
      </c>
      <c r="H38" s="5">
        <v>5</v>
      </c>
      <c r="I38" s="5">
        <v>4</v>
      </c>
      <c r="J38" s="5">
        <v>5</v>
      </c>
      <c r="K38" s="5">
        <v>5</v>
      </c>
      <c r="L38" s="5">
        <v>5</v>
      </c>
      <c r="M38" s="5">
        <v>5</v>
      </c>
      <c r="N38" s="5">
        <v>4</v>
      </c>
      <c r="O38" s="5">
        <v>5</v>
      </c>
      <c r="P38" s="5">
        <v>4</v>
      </c>
      <c r="Q38" s="5">
        <v>4</v>
      </c>
      <c r="R38" s="5">
        <v>4</v>
      </c>
      <c r="S38" s="5">
        <v>4</v>
      </c>
      <c r="T38" s="5">
        <v>4</v>
      </c>
      <c r="U38" s="5">
        <v>4</v>
      </c>
      <c r="W38" s="33">
        <f t="shared" si="0"/>
        <v>4.388888888888889</v>
      </c>
    </row>
    <row r="39" spans="1:23" ht="24">
      <c r="A39" s="62">
        <v>35</v>
      </c>
      <c r="B39" s="5">
        <v>2</v>
      </c>
      <c r="C39" s="5">
        <v>1</v>
      </c>
      <c r="D39" s="5">
        <v>3</v>
      </c>
      <c r="E39" s="5">
        <v>4</v>
      </c>
      <c r="F39" s="5">
        <v>3</v>
      </c>
      <c r="G39" s="5">
        <v>4</v>
      </c>
      <c r="H39" s="5">
        <v>3</v>
      </c>
      <c r="I39" s="5">
        <v>4</v>
      </c>
      <c r="J39" s="5">
        <v>4</v>
      </c>
      <c r="K39" s="5">
        <v>4</v>
      </c>
      <c r="L39" s="5">
        <v>4</v>
      </c>
      <c r="M39" s="5">
        <v>4</v>
      </c>
      <c r="N39" s="5">
        <v>4</v>
      </c>
      <c r="O39" s="5">
        <v>5</v>
      </c>
      <c r="P39" s="5">
        <v>4</v>
      </c>
      <c r="Q39" s="5">
        <v>5</v>
      </c>
      <c r="R39" s="5">
        <v>4</v>
      </c>
      <c r="S39" s="5">
        <v>4</v>
      </c>
      <c r="T39" s="5">
        <v>5</v>
      </c>
      <c r="U39" s="5">
        <v>4</v>
      </c>
      <c r="W39" s="33">
        <f t="shared" si="0"/>
        <v>4</v>
      </c>
    </row>
    <row r="40" spans="1:23" ht="24">
      <c r="A40" s="62">
        <v>36</v>
      </c>
      <c r="B40" s="5">
        <v>2</v>
      </c>
      <c r="C40" s="5">
        <v>1</v>
      </c>
      <c r="D40" s="5">
        <v>4</v>
      </c>
      <c r="E40" s="5">
        <v>4</v>
      </c>
      <c r="F40" s="5">
        <v>5</v>
      </c>
      <c r="G40" s="5">
        <v>5</v>
      </c>
      <c r="H40" s="5">
        <v>4</v>
      </c>
      <c r="I40" s="5">
        <v>4</v>
      </c>
      <c r="J40" s="5">
        <v>3</v>
      </c>
      <c r="K40" s="5">
        <v>4</v>
      </c>
      <c r="L40" s="5">
        <v>4</v>
      </c>
      <c r="M40" s="5">
        <v>4</v>
      </c>
      <c r="N40" s="5">
        <v>5</v>
      </c>
      <c r="O40" s="5">
        <v>4</v>
      </c>
      <c r="P40" s="5">
        <v>5</v>
      </c>
      <c r="Q40" s="5">
        <v>5</v>
      </c>
      <c r="R40" s="5">
        <v>4</v>
      </c>
      <c r="S40" s="5">
        <v>4</v>
      </c>
      <c r="T40" s="5">
        <v>4</v>
      </c>
      <c r="U40" s="5">
        <v>4</v>
      </c>
      <c r="W40" s="33">
        <f t="shared" si="0"/>
        <v>4.222222222222222</v>
      </c>
    </row>
    <row r="41" spans="1:23" ht="24">
      <c r="A41" s="62">
        <v>37</v>
      </c>
      <c r="B41" s="5">
        <v>2</v>
      </c>
      <c r="C41" s="5">
        <v>17</v>
      </c>
      <c r="D41" s="5">
        <v>5</v>
      </c>
      <c r="E41" s="5">
        <v>5</v>
      </c>
      <c r="F41" s="5">
        <v>5</v>
      </c>
      <c r="G41" s="5">
        <v>4</v>
      </c>
      <c r="H41" s="5">
        <v>4</v>
      </c>
      <c r="I41" s="5">
        <v>4</v>
      </c>
      <c r="J41" s="5">
        <v>5</v>
      </c>
      <c r="K41" s="5">
        <v>5</v>
      </c>
      <c r="L41" s="5">
        <v>5</v>
      </c>
      <c r="M41" s="5">
        <v>5</v>
      </c>
      <c r="N41" s="5">
        <v>4</v>
      </c>
      <c r="O41" s="5">
        <v>5</v>
      </c>
      <c r="P41" s="5">
        <v>5</v>
      </c>
      <c r="Q41" s="5">
        <v>5</v>
      </c>
      <c r="R41" s="5">
        <v>5</v>
      </c>
      <c r="S41" s="5">
        <v>4</v>
      </c>
      <c r="T41" s="5">
        <v>5</v>
      </c>
      <c r="U41" s="5">
        <v>4</v>
      </c>
      <c r="W41" s="33">
        <f t="shared" si="0"/>
        <v>4.666666666666667</v>
      </c>
    </row>
    <row r="42" spans="1:23" ht="24">
      <c r="A42" s="62">
        <v>38</v>
      </c>
      <c r="B42" s="5">
        <v>2</v>
      </c>
      <c r="C42" s="5">
        <v>6</v>
      </c>
      <c r="D42" s="5">
        <v>4</v>
      </c>
      <c r="E42" s="5">
        <v>3</v>
      </c>
      <c r="F42" s="5">
        <v>4</v>
      </c>
      <c r="G42" s="5">
        <v>4</v>
      </c>
      <c r="H42" s="5">
        <v>4</v>
      </c>
      <c r="I42" s="5">
        <v>5</v>
      </c>
      <c r="J42" s="5">
        <v>5</v>
      </c>
      <c r="K42" s="5">
        <v>5</v>
      </c>
      <c r="L42" s="5">
        <v>5</v>
      </c>
      <c r="M42" s="5">
        <v>5</v>
      </c>
      <c r="N42" s="5">
        <v>4</v>
      </c>
      <c r="O42" s="5">
        <v>4</v>
      </c>
      <c r="P42" s="5">
        <v>4</v>
      </c>
      <c r="Q42" s="5">
        <v>5</v>
      </c>
      <c r="R42" s="5">
        <v>4</v>
      </c>
      <c r="S42" s="5">
        <v>3</v>
      </c>
      <c r="T42" s="5">
        <v>3</v>
      </c>
      <c r="U42" s="5">
        <v>3</v>
      </c>
      <c r="W42" s="33">
        <f t="shared" si="0"/>
        <v>4.111111111111111</v>
      </c>
    </row>
    <row r="43" spans="1:23" ht="24">
      <c r="A43" s="62">
        <v>39</v>
      </c>
      <c r="B43" s="5">
        <v>2</v>
      </c>
      <c r="C43" s="5">
        <v>6</v>
      </c>
      <c r="D43" s="5">
        <v>4</v>
      </c>
      <c r="E43" s="5">
        <v>5</v>
      </c>
      <c r="F43" s="5">
        <v>5</v>
      </c>
      <c r="G43" s="5">
        <v>5</v>
      </c>
      <c r="H43" s="5">
        <v>5</v>
      </c>
      <c r="I43" s="5">
        <v>5</v>
      </c>
      <c r="J43" s="5">
        <v>5</v>
      </c>
      <c r="K43" s="5">
        <v>4</v>
      </c>
      <c r="L43" s="5">
        <v>5</v>
      </c>
      <c r="M43" s="5">
        <v>5</v>
      </c>
      <c r="N43" s="5">
        <v>4</v>
      </c>
      <c r="O43" s="5">
        <v>4</v>
      </c>
      <c r="P43" s="5">
        <v>4</v>
      </c>
      <c r="Q43" s="5">
        <v>4</v>
      </c>
      <c r="R43" s="5">
        <v>4</v>
      </c>
      <c r="S43" s="5">
        <v>4</v>
      </c>
      <c r="T43" s="5">
        <v>4</v>
      </c>
      <c r="U43" s="5">
        <v>4</v>
      </c>
      <c r="W43" s="33">
        <f t="shared" si="0"/>
        <v>4.444444444444445</v>
      </c>
    </row>
    <row r="44" spans="1:23" ht="24">
      <c r="A44" s="62">
        <v>40</v>
      </c>
      <c r="B44" s="5">
        <v>2</v>
      </c>
      <c r="C44" s="5">
        <v>6</v>
      </c>
      <c r="D44" s="5">
        <v>5</v>
      </c>
      <c r="E44" s="5">
        <v>5</v>
      </c>
      <c r="F44" s="5">
        <v>5</v>
      </c>
      <c r="G44" s="5">
        <v>5</v>
      </c>
      <c r="H44" s="5">
        <v>5</v>
      </c>
      <c r="I44" s="5">
        <v>5</v>
      </c>
      <c r="J44" s="5">
        <v>5</v>
      </c>
      <c r="K44" s="5">
        <v>5</v>
      </c>
      <c r="L44" s="5">
        <v>5</v>
      </c>
      <c r="M44" s="5">
        <v>5</v>
      </c>
      <c r="N44" s="5">
        <v>5</v>
      </c>
      <c r="O44" s="5">
        <v>5</v>
      </c>
      <c r="P44" s="5">
        <v>5</v>
      </c>
      <c r="Q44" s="5">
        <v>5</v>
      </c>
      <c r="R44" s="5">
        <v>5</v>
      </c>
      <c r="S44" s="5">
        <v>5</v>
      </c>
      <c r="T44" s="5">
        <v>5</v>
      </c>
      <c r="U44" s="5">
        <v>5</v>
      </c>
      <c r="W44" s="33">
        <f t="shared" si="0"/>
        <v>5</v>
      </c>
    </row>
    <row r="45" spans="1:23" ht="24">
      <c r="A45" s="62">
        <v>41</v>
      </c>
      <c r="B45" s="5">
        <v>2</v>
      </c>
      <c r="C45" s="5">
        <v>8</v>
      </c>
      <c r="D45" s="5">
        <v>4</v>
      </c>
      <c r="E45" s="5">
        <v>3</v>
      </c>
      <c r="F45" s="5">
        <v>3</v>
      </c>
      <c r="G45" s="5">
        <v>4</v>
      </c>
      <c r="H45" s="5">
        <v>4</v>
      </c>
      <c r="I45" s="5">
        <v>4</v>
      </c>
      <c r="J45" s="5">
        <v>4</v>
      </c>
      <c r="K45" s="5">
        <v>5</v>
      </c>
      <c r="L45" s="5">
        <v>4</v>
      </c>
      <c r="M45" s="5">
        <v>4</v>
      </c>
      <c r="N45" s="5">
        <v>4</v>
      </c>
      <c r="O45" s="5">
        <v>5</v>
      </c>
      <c r="P45" s="5">
        <v>4</v>
      </c>
      <c r="Q45" s="5">
        <v>4</v>
      </c>
      <c r="R45" s="5">
        <v>4</v>
      </c>
      <c r="S45" s="5">
        <v>4</v>
      </c>
      <c r="T45" s="5">
        <v>3</v>
      </c>
      <c r="U45" s="5">
        <v>3</v>
      </c>
      <c r="W45" s="33">
        <f t="shared" si="0"/>
        <v>3.888888888888889</v>
      </c>
    </row>
    <row r="46" spans="1:23" ht="24">
      <c r="A46" s="62">
        <v>42</v>
      </c>
      <c r="B46" s="5">
        <v>2</v>
      </c>
      <c r="C46" s="5">
        <v>8</v>
      </c>
      <c r="D46" s="5">
        <v>5</v>
      </c>
      <c r="E46" s="5">
        <v>3</v>
      </c>
      <c r="F46" s="5">
        <v>4</v>
      </c>
      <c r="G46" s="5">
        <v>3</v>
      </c>
      <c r="H46" s="5">
        <v>4</v>
      </c>
      <c r="I46" s="5">
        <v>4</v>
      </c>
      <c r="J46" s="5">
        <v>4</v>
      </c>
      <c r="K46" s="5">
        <v>5</v>
      </c>
      <c r="L46" s="5">
        <v>5</v>
      </c>
      <c r="M46" s="5">
        <v>5</v>
      </c>
      <c r="N46" s="5">
        <v>4</v>
      </c>
      <c r="O46" s="5">
        <v>5</v>
      </c>
      <c r="P46" s="5">
        <v>5</v>
      </c>
      <c r="Q46" s="5">
        <v>5</v>
      </c>
      <c r="R46" s="5">
        <v>4</v>
      </c>
      <c r="S46" s="5">
        <v>4</v>
      </c>
      <c r="T46" s="5">
        <v>4</v>
      </c>
      <c r="U46" s="5">
        <v>4</v>
      </c>
      <c r="W46" s="33">
        <f t="shared" si="0"/>
        <v>4.277777777777778</v>
      </c>
    </row>
    <row r="47" spans="1:23" ht="24">
      <c r="A47" s="62">
        <v>43</v>
      </c>
      <c r="B47" s="5">
        <v>2</v>
      </c>
      <c r="C47" s="5">
        <v>11</v>
      </c>
      <c r="D47" s="5">
        <v>4</v>
      </c>
      <c r="E47" s="5">
        <v>4</v>
      </c>
      <c r="F47" s="5">
        <v>4</v>
      </c>
      <c r="G47" s="5">
        <v>3</v>
      </c>
      <c r="H47" s="5">
        <v>4</v>
      </c>
      <c r="I47" s="5">
        <v>3</v>
      </c>
      <c r="J47" s="5">
        <v>4</v>
      </c>
      <c r="K47" s="5">
        <v>4</v>
      </c>
      <c r="L47" s="5">
        <v>4</v>
      </c>
      <c r="M47" s="5">
        <v>4</v>
      </c>
      <c r="N47" s="5">
        <v>4</v>
      </c>
      <c r="O47" s="5">
        <v>4</v>
      </c>
      <c r="P47" s="5">
        <v>4</v>
      </c>
      <c r="Q47" s="5">
        <v>4</v>
      </c>
      <c r="R47" s="5">
        <v>3</v>
      </c>
      <c r="S47" s="5">
        <v>3</v>
      </c>
      <c r="T47" s="5">
        <v>3</v>
      </c>
      <c r="U47" s="5">
        <v>3</v>
      </c>
      <c r="W47" s="33">
        <f t="shared" si="0"/>
        <v>3.6666666666666665</v>
      </c>
    </row>
    <row r="48" spans="4:23" ht="24">
      <c r="D48" s="31">
        <f aca="true" t="shared" si="1" ref="D48:U48">AVERAGE(D5:D47)</f>
        <v>4.511627906976744</v>
      </c>
      <c r="E48" s="31">
        <f t="shared" si="1"/>
        <v>4.325581395348837</v>
      </c>
      <c r="F48" s="31">
        <f t="shared" si="1"/>
        <v>4.238095238095238</v>
      </c>
      <c r="G48" s="31">
        <f t="shared" si="1"/>
        <v>4.395348837209302</v>
      </c>
      <c r="H48" s="31">
        <f t="shared" si="1"/>
        <v>4.372093023255814</v>
      </c>
      <c r="I48" s="31">
        <f t="shared" si="1"/>
        <v>4.261904761904762</v>
      </c>
      <c r="J48" s="31">
        <f t="shared" si="1"/>
        <v>4.325581395348837</v>
      </c>
      <c r="K48" s="31">
        <f t="shared" si="1"/>
        <v>4.511627906976744</v>
      </c>
      <c r="L48" s="31">
        <f t="shared" si="1"/>
        <v>4.511627906976744</v>
      </c>
      <c r="M48" s="31">
        <f t="shared" si="1"/>
        <v>4.5813953488372094</v>
      </c>
      <c r="N48" s="31">
        <f t="shared" si="1"/>
        <v>4.372093023255814</v>
      </c>
      <c r="O48" s="31">
        <f t="shared" si="1"/>
        <v>4.325581395348837</v>
      </c>
      <c r="P48" s="31">
        <f t="shared" si="1"/>
        <v>4.372093023255814</v>
      </c>
      <c r="Q48" s="31">
        <f t="shared" si="1"/>
        <v>4.558139534883721</v>
      </c>
      <c r="R48" s="31">
        <f t="shared" si="1"/>
        <v>4.209302325581396</v>
      </c>
      <c r="S48" s="31">
        <f t="shared" si="1"/>
        <v>4.046511627906977</v>
      </c>
      <c r="T48" s="31">
        <f t="shared" si="1"/>
        <v>4.209302325581396</v>
      </c>
      <c r="U48" s="31">
        <f t="shared" si="1"/>
        <v>4.209302325581396</v>
      </c>
      <c r="W48" s="34">
        <f>AVERAGE(D48:U48)</f>
        <v>4.352067183462532</v>
      </c>
    </row>
    <row r="49" spans="1:23" ht="24">
      <c r="A49" s="49"/>
      <c r="B49" s="1"/>
      <c r="C49" s="1"/>
      <c r="D49" s="32">
        <f aca="true" t="shared" si="2" ref="D49:U49">STDEV(D5:D47)</f>
        <v>0.6680495071209628</v>
      </c>
      <c r="E49" s="32">
        <f t="shared" si="2"/>
        <v>0.6803686057172436</v>
      </c>
      <c r="F49" s="32">
        <f t="shared" si="2"/>
        <v>0.7904775898004766</v>
      </c>
      <c r="G49" s="32">
        <f t="shared" si="2"/>
        <v>0.6948632919236003</v>
      </c>
      <c r="H49" s="32">
        <f t="shared" si="2"/>
        <v>0.6908674951845302</v>
      </c>
      <c r="I49" s="32">
        <f t="shared" si="2"/>
        <v>0.7344991261521241</v>
      </c>
      <c r="J49" s="32">
        <f t="shared" si="2"/>
        <v>0.7145071639001764</v>
      </c>
      <c r="K49" s="32">
        <f t="shared" si="2"/>
        <v>0.5924964546108829</v>
      </c>
      <c r="L49" s="32">
        <f t="shared" si="2"/>
        <v>0.5508475298187497</v>
      </c>
      <c r="M49" s="32">
        <f t="shared" si="2"/>
        <v>0.6630577845799999</v>
      </c>
      <c r="N49" s="32">
        <f t="shared" si="2"/>
        <v>0.7245115206272392</v>
      </c>
      <c r="O49" s="32">
        <f t="shared" si="2"/>
        <v>0.6444240777830841</v>
      </c>
      <c r="P49" s="32">
        <f t="shared" si="2"/>
        <v>0.618109861322768</v>
      </c>
      <c r="Q49" s="32">
        <f t="shared" si="2"/>
        <v>0.7004191119946663</v>
      </c>
      <c r="R49" s="32">
        <f t="shared" si="2"/>
        <v>0.6746476870642402</v>
      </c>
      <c r="S49" s="32">
        <f t="shared" si="2"/>
        <v>0.7222151233430262</v>
      </c>
      <c r="T49" s="32">
        <f t="shared" si="2"/>
        <v>0.741881120462857</v>
      </c>
      <c r="U49" s="32">
        <f t="shared" si="2"/>
        <v>0.7090617386942949</v>
      </c>
      <c r="W49" s="34">
        <f>STDEV(D5:U47)</f>
        <v>0.6929006336256803</v>
      </c>
    </row>
    <row r="50" spans="1:3" ht="24">
      <c r="A50" s="49"/>
      <c r="B50" s="49"/>
      <c r="C50" s="78" t="s">
        <v>15</v>
      </c>
    </row>
    <row r="51" spans="1:3" ht="24">
      <c r="A51" s="49"/>
      <c r="B51" s="49">
        <f>COUNTIF(B5:B47,1)</f>
        <v>16</v>
      </c>
      <c r="C51" s="64" t="s">
        <v>55</v>
      </c>
    </row>
    <row r="52" spans="1:3" ht="24">
      <c r="A52" s="49"/>
      <c r="B52" s="49">
        <f>COUNTIF(B5:B47,2)</f>
        <v>25</v>
      </c>
      <c r="C52" s="64" t="s">
        <v>93</v>
      </c>
    </row>
    <row r="53" spans="1:3" ht="24">
      <c r="A53" s="49"/>
      <c r="B53" s="49">
        <f>COUNTIF(B5:B47,3)</f>
        <v>0</v>
      </c>
      <c r="C53" s="64" t="s">
        <v>56</v>
      </c>
    </row>
    <row r="54" spans="1:3" ht="24">
      <c r="A54" s="49"/>
      <c r="B54" s="49">
        <f>COUNTIF(B5:B47,4)</f>
        <v>1</v>
      </c>
      <c r="C54" s="64" t="s">
        <v>66</v>
      </c>
    </row>
    <row r="55" spans="1:3" ht="24">
      <c r="A55" s="49"/>
      <c r="B55" s="49">
        <f>COUNTIF(B5:B47,0)</f>
        <v>1</v>
      </c>
      <c r="C55" s="64" t="s">
        <v>100</v>
      </c>
    </row>
    <row r="56" spans="2:3" ht="24">
      <c r="B56" s="49">
        <f>SUM(B51:B54)</f>
        <v>42</v>
      </c>
      <c r="C56" s="49"/>
    </row>
    <row r="58" ht="24">
      <c r="A58" s="28"/>
    </row>
    <row r="59" spans="1:3" ht="24">
      <c r="A59" s="28"/>
      <c r="C59" s="28"/>
    </row>
    <row r="60" spans="1:3" ht="24">
      <c r="A60" s="28"/>
      <c r="B60" s="30"/>
      <c r="C60" s="30" t="s">
        <v>3</v>
      </c>
    </row>
    <row r="61" spans="1:3" ht="24">
      <c r="A61" s="28"/>
      <c r="B61" s="49">
        <f>COUNTIF(C5:C47,0)</f>
        <v>6</v>
      </c>
      <c r="C61" s="64" t="s">
        <v>17</v>
      </c>
    </row>
    <row r="62" spans="1:3" ht="24">
      <c r="A62" s="5">
        <v>1</v>
      </c>
      <c r="B62" s="49">
        <f>COUNTIF(C5:C47,1)</f>
        <v>6</v>
      </c>
      <c r="C62" s="36" t="s">
        <v>23</v>
      </c>
    </row>
    <row r="63" spans="1:3" ht="24">
      <c r="A63" s="5">
        <v>2</v>
      </c>
      <c r="B63" s="49">
        <f>COUNTIF(C5:C47,2)</f>
        <v>0</v>
      </c>
      <c r="C63" s="36" t="s">
        <v>57</v>
      </c>
    </row>
    <row r="64" spans="1:3" ht="24">
      <c r="A64" s="5">
        <v>3</v>
      </c>
      <c r="B64" s="49">
        <f>COUNTIF(C5:C47,3)</f>
        <v>5</v>
      </c>
      <c r="C64" s="36" t="s">
        <v>58</v>
      </c>
    </row>
    <row r="65" spans="1:18" ht="24">
      <c r="A65" s="5">
        <v>4</v>
      </c>
      <c r="B65" s="49">
        <f>COUNTIF(C5:C47,4)</f>
        <v>7</v>
      </c>
      <c r="C65" s="36" t="s">
        <v>59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3" ht="24">
      <c r="A66" s="5">
        <v>5</v>
      </c>
      <c r="B66" s="49">
        <f>COUNTIF(C5:C47,5)</f>
        <v>0</v>
      </c>
      <c r="C66" s="36" t="s">
        <v>18</v>
      </c>
    </row>
    <row r="67" spans="1:3" ht="24">
      <c r="A67" s="5">
        <v>6</v>
      </c>
      <c r="B67" s="49">
        <f>COUNTIF(C5:C47,6)</f>
        <v>3</v>
      </c>
      <c r="C67" s="36" t="s">
        <v>14</v>
      </c>
    </row>
    <row r="68" spans="1:3" ht="24">
      <c r="A68" s="5">
        <v>7</v>
      </c>
      <c r="B68" s="49">
        <f>COUNTIF(C5:C47,7)</f>
        <v>0</v>
      </c>
      <c r="C68" s="36" t="s">
        <v>33</v>
      </c>
    </row>
    <row r="69" spans="1:3" ht="24">
      <c r="A69" s="5">
        <v>8</v>
      </c>
      <c r="B69" s="49">
        <f>COUNTIF(C5:C47,8)</f>
        <v>5</v>
      </c>
      <c r="C69" s="36" t="s">
        <v>60</v>
      </c>
    </row>
    <row r="70" spans="1:21" ht="24">
      <c r="A70" s="5">
        <v>9</v>
      </c>
      <c r="B70" s="49">
        <f>COUNTIF(C5:C47,9)</f>
        <v>1</v>
      </c>
      <c r="C70" s="36" t="s">
        <v>24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4">
      <c r="A71" s="5">
        <v>10</v>
      </c>
      <c r="B71" s="49">
        <f>COUNTIF(C5:C47,10)</f>
        <v>4</v>
      </c>
      <c r="C71" s="36" t="s">
        <v>25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3" ht="24">
      <c r="A72" s="5">
        <v>11</v>
      </c>
      <c r="B72" s="49">
        <f>COUNTIF(C6:C47,11)</f>
        <v>1</v>
      </c>
      <c r="C72" s="36" t="s">
        <v>20</v>
      </c>
    </row>
    <row r="73" spans="1:3" ht="24">
      <c r="A73" s="5">
        <v>12</v>
      </c>
      <c r="B73" s="49">
        <f>COUNTIF(C7:C48,12)</f>
        <v>0</v>
      </c>
      <c r="C73" s="36" t="s">
        <v>61</v>
      </c>
    </row>
    <row r="74" spans="1:3" ht="24">
      <c r="A74" s="5">
        <v>13</v>
      </c>
      <c r="B74" s="49">
        <f>COUNTIF(C8:C50,13)</f>
        <v>0</v>
      </c>
      <c r="C74" s="36" t="s">
        <v>26</v>
      </c>
    </row>
    <row r="75" spans="1:3" ht="24">
      <c r="A75" s="5">
        <v>14</v>
      </c>
      <c r="B75" s="49">
        <f>COUNTIF(C9:C51,14)</f>
        <v>0</v>
      </c>
      <c r="C75" s="36" t="s">
        <v>62</v>
      </c>
    </row>
    <row r="76" spans="1:3" ht="24">
      <c r="A76" s="5">
        <v>15</v>
      </c>
      <c r="B76" s="49">
        <f>COUNTIF(C10:C52,15)</f>
        <v>0</v>
      </c>
      <c r="C76" s="36" t="s">
        <v>63</v>
      </c>
    </row>
    <row r="77" spans="1:3" ht="24">
      <c r="A77" s="5">
        <v>16</v>
      </c>
      <c r="B77" s="49">
        <f>COUNTIF(C11:C53,16)</f>
        <v>2</v>
      </c>
      <c r="C77" s="36" t="s">
        <v>64</v>
      </c>
    </row>
    <row r="78" spans="1:3" ht="24">
      <c r="A78" s="5">
        <v>17</v>
      </c>
      <c r="B78" s="49">
        <f>COUNTIF(C12:C54,17)</f>
        <v>1</v>
      </c>
      <c r="C78" s="64" t="s">
        <v>22</v>
      </c>
    </row>
    <row r="79" spans="1:3" ht="24">
      <c r="A79" s="5">
        <v>18</v>
      </c>
      <c r="B79" s="49">
        <f>COUNTIF(C13:C56,18)</f>
        <v>0</v>
      </c>
      <c r="C79" s="36" t="s">
        <v>65</v>
      </c>
    </row>
    <row r="80" spans="1:3" ht="24">
      <c r="A80" s="5">
        <v>19</v>
      </c>
      <c r="B80" s="49">
        <f>COUNTIF(C14:C56,19)</f>
        <v>0</v>
      </c>
      <c r="C80" s="5" t="s">
        <v>67</v>
      </c>
    </row>
    <row r="81" ht="24">
      <c r="B81" s="5">
        <f>SUM(B61:B80)</f>
        <v>41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120" zoomScaleNormal="120" zoomScalePageLayoutView="0" workbookViewId="0" topLeftCell="A1">
      <selection activeCell="A3" sqref="A3"/>
    </sheetView>
  </sheetViews>
  <sheetFormatPr defaultColWidth="8.7109375" defaultRowHeight="12.75"/>
  <cols>
    <col min="1" max="9" width="8.7109375" style="1" customWidth="1"/>
    <col min="10" max="10" width="9.57421875" style="1" customWidth="1"/>
    <col min="11" max="11" width="1.7109375" style="1" customWidth="1"/>
    <col min="12" max="16384" width="8.7109375" style="1" customWidth="1"/>
  </cols>
  <sheetData>
    <row r="1" spans="1:10" ht="24">
      <c r="A1" s="106" t="s">
        <v>7</v>
      </c>
      <c r="B1" s="106"/>
      <c r="C1" s="106"/>
      <c r="D1" s="106"/>
      <c r="E1" s="106"/>
      <c r="F1" s="106"/>
      <c r="G1" s="106"/>
      <c r="H1" s="106"/>
      <c r="I1" s="106"/>
      <c r="J1" s="106"/>
    </row>
    <row r="3" ht="24">
      <c r="A3" s="1" t="s">
        <v>88</v>
      </c>
    </row>
    <row r="4" ht="24">
      <c r="A4" s="1" t="s">
        <v>116</v>
      </c>
    </row>
    <row r="5" spans="1:13" ht="24">
      <c r="A5" s="1" t="s">
        <v>117</v>
      </c>
      <c r="M5" s="7"/>
    </row>
    <row r="6" spans="1:13" ht="24">
      <c r="A6" s="71" t="s">
        <v>118</v>
      </c>
      <c r="M6" s="7" t="s">
        <v>16</v>
      </c>
    </row>
    <row r="7" ht="24">
      <c r="A7" s="7" t="s">
        <v>119</v>
      </c>
    </row>
    <row r="8" spans="1:13" ht="24">
      <c r="A8" s="7" t="s">
        <v>120</v>
      </c>
      <c r="M8" s="7"/>
    </row>
    <row r="9" ht="24">
      <c r="A9" s="70" t="s">
        <v>90</v>
      </c>
    </row>
    <row r="10" spans="1:12" ht="24">
      <c r="A10" s="70" t="s">
        <v>121</v>
      </c>
      <c r="L10" s="70"/>
    </row>
    <row r="11" spans="1:12" ht="24">
      <c r="A11" s="70" t="s">
        <v>122</v>
      </c>
      <c r="L11" s="70" t="s">
        <v>16</v>
      </c>
    </row>
    <row r="12" ht="24">
      <c r="A12" s="70" t="s">
        <v>124</v>
      </c>
    </row>
    <row r="13" ht="24">
      <c r="A13" s="70" t="s">
        <v>125</v>
      </c>
    </row>
    <row r="14" ht="24">
      <c r="A14" s="1" t="s">
        <v>123</v>
      </c>
    </row>
  </sheetData>
  <sheetProtection/>
  <mergeCells count="1">
    <mergeCell ref="A1:J1"/>
  </mergeCells>
  <printOptions/>
  <pageMargins left="0.90551181102362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zoomScale="120" zoomScaleNormal="120" zoomScalePageLayoutView="0" workbookViewId="0" topLeftCell="A1">
      <selection activeCell="H17" sqref="H17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5" width="8.7109375" style="1" customWidth="1"/>
    <col min="6" max="6" width="7.57421875" style="1" customWidth="1"/>
    <col min="7" max="7" width="9.8515625" style="1" customWidth="1"/>
    <col min="8" max="8" width="9.421875" style="1" customWidth="1"/>
    <col min="9" max="9" width="8.28125" style="1" bestFit="1" customWidth="1"/>
    <col min="10" max="10" width="12.57421875" style="1" customWidth="1"/>
    <col min="11" max="11" width="1.28515625" style="1" customWidth="1"/>
    <col min="12" max="12" width="15.57421875" style="1" customWidth="1"/>
    <col min="13" max="16384" width="8.7109375" style="1" customWidth="1"/>
  </cols>
  <sheetData>
    <row r="1" spans="1:10" ht="24">
      <c r="A1" s="107" t="s">
        <v>112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4">
      <c r="A2" s="106" t="s">
        <v>68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24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24">
      <c r="A4" s="106" t="s">
        <v>126</v>
      </c>
      <c r="B4" s="106"/>
      <c r="C4" s="106"/>
      <c r="D4" s="106"/>
      <c r="E4" s="106"/>
      <c r="F4" s="106"/>
      <c r="G4" s="106"/>
      <c r="H4" s="106"/>
      <c r="I4" s="106"/>
      <c r="J4" s="106"/>
    </row>
    <row r="5" ht="12" customHeight="1"/>
    <row r="6" ht="24">
      <c r="A6" s="1" t="s">
        <v>69</v>
      </c>
    </row>
    <row r="7" ht="24">
      <c r="A7" s="1" t="s">
        <v>127</v>
      </c>
    </row>
    <row r="8" ht="24">
      <c r="A8" s="1" t="s">
        <v>105</v>
      </c>
    </row>
    <row r="9" ht="24">
      <c r="A9" s="1" t="s">
        <v>106</v>
      </c>
    </row>
    <row r="10" ht="10.5" customHeight="1"/>
    <row r="11" ht="24">
      <c r="A11" s="8" t="s">
        <v>8</v>
      </c>
    </row>
    <row r="12" ht="8.25" customHeight="1">
      <c r="A12" s="8"/>
    </row>
    <row r="13" ht="24">
      <c r="A13" s="7" t="s">
        <v>21</v>
      </c>
    </row>
    <row r="14" ht="11.25" customHeight="1" thickBot="1">
      <c r="A14" s="7"/>
    </row>
    <row r="15" spans="1:9" ht="25.5" thickBot="1" thickTop="1">
      <c r="A15" s="37" t="s">
        <v>19</v>
      </c>
      <c r="B15" s="110" t="s">
        <v>70</v>
      </c>
      <c r="C15" s="110"/>
      <c r="D15" s="110"/>
      <c r="E15" s="110"/>
      <c r="F15" s="110"/>
      <c r="G15" s="52"/>
      <c r="H15" s="37" t="s">
        <v>9</v>
      </c>
      <c r="I15" s="37" t="s">
        <v>10</v>
      </c>
    </row>
    <row r="16" spans="1:9" ht="24.75" thickTop="1">
      <c r="A16" s="60">
        <v>1</v>
      </c>
      <c r="B16" s="65" t="s">
        <v>55</v>
      </c>
      <c r="C16" s="2"/>
      <c r="D16" s="38"/>
      <c r="E16" s="38"/>
      <c r="F16" s="38"/>
      <c r="H16" s="60">
        <f>SUM(H17:H34)</f>
        <v>17</v>
      </c>
      <c r="I16" s="66">
        <f aca="true" t="shared" si="0" ref="I16:I36">H16*100/H$71</f>
        <v>39.53488372093023</v>
      </c>
    </row>
    <row r="17" spans="1:9" ht="24">
      <c r="A17" s="38"/>
      <c r="B17" s="36" t="s">
        <v>77</v>
      </c>
      <c r="C17" s="79"/>
      <c r="D17" s="80"/>
      <c r="E17" s="80"/>
      <c r="F17" s="80"/>
      <c r="G17" s="79"/>
      <c r="H17" s="3">
        <f>_xlfn.COUNTIFS(คีย์!B$5:B$47,1,คีย์!C$5:C$47,3)</f>
        <v>5</v>
      </c>
      <c r="I17" s="95">
        <f t="shared" si="0"/>
        <v>11.627906976744185</v>
      </c>
    </row>
    <row r="18" spans="1:9" ht="24">
      <c r="A18" s="38"/>
      <c r="B18" s="36" t="s">
        <v>47</v>
      </c>
      <c r="C18" s="79"/>
      <c r="D18" s="80"/>
      <c r="E18" s="80"/>
      <c r="F18" s="80"/>
      <c r="G18" s="79"/>
      <c r="H18" s="3">
        <f>_xlfn.COUNTIFS(คีย์!B$5:B$47,1,คีย์!C$5:C$47,1)</f>
        <v>4</v>
      </c>
      <c r="I18" s="95">
        <f t="shared" si="0"/>
        <v>9.30232558139535</v>
      </c>
    </row>
    <row r="19" spans="1:9" ht="24" hidden="1">
      <c r="A19" s="4"/>
      <c r="B19" s="79" t="s">
        <v>46</v>
      </c>
      <c r="C19" s="79"/>
      <c r="D19" s="80"/>
      <c r="E19" s="80"/>
      <c r="F19" s="80"/>
      <c r="G19" s="79"/>
      <c r="H19" s="3">
        <f>_xlfn.COUNTIFS(คีย์!B$5:B$47,1,คีย์!C$5:C$47,4)</f>
        <v>0</v>
      </c>
      <c r="I19" s="95">
        <f t="shared" si="0"/>
        <v>0</v>
      </c>
    </row>
    <row r="20" spans="1:9" ht="24" hidden="1">
      <c r="A20" s="4"/>
      <c r="B20" s="36" t="s">
        <v>52</v>
      </c>
      <c r="C20" s="79"/>
      <c r="D20" s="80"/>
      <c r="E20" s="80"/>
      <c r="F20" s="80"/>
      <c r="G20" s="79"/>
      <c r="H20" s="3">
        <f>_xlfn.COUNTIFS(คีย์!B$5:B$47,1,คีย์!C$5:C$47,7)</f>
        <v>0</v>
      </c>
      <c r="I20" s="95">
        <f t="shared" si="0"/>
        <v>0</v>
      </c>
    </row>
    <row r="21" spans="1:9" ht="24" hidden="1">
      <c r="A21" s="4"/>
      <c r="B21" s="36" t="s">
        <v>48</v>
      </c>
      <c r="C21" s="79"/>
      <c r="D21" s="80"/>
      <c r="E21" s="80"/>
      <c r="F21" s="80"/>
      <c r="G21" s="79"/>
      <c r="H21" s="3">
        <f>_xlfn.COUNTIFS(คีย์!B$5:B$47,1,คีย์!C$5:C$47,11)</f>
        <v>0</v>
      </c>
      <c r="I21" s="95">
        <f t="shared" si="0"/>
        <v>0</v>
      </c>
    </row>
    <row r="22" spans="1:9" ht="24">
      <c r="A22" s="4"/>
      <c r="B22" s="36" t="s">
        <v>53</v>
      </c>
      <c r="C22" s="79"/>
      <c r="D22" s="80"/>
      <c r="E22" s="80"/>
      <c r="F22" s="80"/>
      <c r="G22" s="79"/>
      <c r="H22" s="3">
        <f>_xlfn.COUNTIFS(คีย์!B$5:B$47,1,คีย์!C$5:C$47,10)</f>
        <v>4</v>
      </c>
      <c r="I22" s="95">
        <f t="shared" si="0"/>
        <v>9.30232558139535</v>
      </c>
    </row>
    <row r="23" spans="1:9" ht="24" hidden="1">
      <c r="A23" s="4"/>
      <c r="B23" s="36" t="s">
        <v>107</v>
      </c>
      <c r="C23" s="79"/>
      <c r="D23" s="80"/>
      <c r="E23" s="80"/>
      <c r="F23" s="80"/>
      <c r="G23" s="79"/>
      <c r="H23" s="3">
        <f>_xlfn.COUNTIFS(คีย์!B$5:B$47,1,คีย์!C$5:C$47,12)</f>
        <v>0</v>
      </c>
      <c r="I23" s="95">
        <f t="shared" si="0"/>
        <v>0</v>
      </c>
    </row>
    <row r="24" spans="1:9" ht="24">
      <c r="A24" s="4"/>
      <c r="B24" s="36" t="s">
        <v>49</v>
      </c>
      <c r="C24" s="79"/>
      <c r="D24" s="80"/>
      <c r="E24" s="80"/>
      <c r="F24" s="80"/>
      <c r="G24" s="79"/>
      <c r="H24" s="3">
        <f>_xlfn.COUNTIFS(คีย์!B$5:B$47,1,คีย์!C$5:C$47,15)</f>
        <v>1</v>
      </c>
      <c r="I24" s="95">
        <f t="shared" si="0"/>
        <v>2.3255813953488373</v>
      </c>
    </row>
    <row r="25" spans="1:9" ht="24">
      <c r="A25" s="4"/>
      <c r="B25" s="36" t="s">
        <v>74</v>
      </c>
      <c r="C25" s="79"/>
      <c r="D25" s="80"/>
      <c r="E25" s="80"/>
      <c r="F25" s="80"/>
      <c r="G25" s="79"/>
      <c r="H25" s="3">
        <f>_xlfn.COUNTIFS(คีย์!B$5:B$47,1,คีย์!C$5:C$47,8)</f>
        <v>1</v>
      </c>
      <c r="I25" s="95">
        <f t="shared" si="0"/>
        <v>2.3255813953488373</v>
      </c>
    </row>
    <row r="26" spans="1:9" ht="24" hidden="1">
      <c r="A26" s="4"/>
      <c r="B26" s="36" t="s">
        <v>75</v>
      </c>
      <c r="C26" s="79"/>
      <c r="D26" s="80"/>
      <c r="E26" s="80"/>
      <c r="F26" s="80"/>
      <c r="G26" s="79"/>
      <c r="H26" s="3">
        <f>_xlfn.COUNTIFS(คีย์!B$5:B$47,1,คีย์!C$5:C$47,9)</f>
        <v>0</v>
      </c>
      <c r="I26" s="95">
        <f t="shared" si="0"/>
        <v>0</v>
      </c>
    </row>
    <row r="27" spans="1:9" ht="24" hidden="1">
      <c r="A27" s="4"/>
      <c r="B27" s="36" t="s">
        <v>72</v>
      </c>
      <c r="C27" s="79"/>
      <c r="D27" s="80"/>
      <c r="E27" s="80"/>
      <c r="F27" s="80"/>
      <c r="G27" s="79"/>
      <c r="H27" s="3">
        <f>_xlfn.COUNTIFS(คีย์!B$5:B$47,1,คีย์!C$5:C$47,14)</f>
        <v>0</v>
      </c>
      <c r="I27" s="95">
        <f t="shared" si="0"/>
        <v>0</v>
      </c>
    </row>
    <row r="28" spans="1:9" ht="24" hidden="1">
      <c r="A28" s="4"/>
      <c r="B28" s="36" t="s">
        <v>50</v>
      </c>
      <c r="C28" s="79"/>
      <c r="D28" s="80"/>
      <c r="E28" s="80"/>
      <c r="F28" s="80"/>
      <c r="G28" s="79"/>
      <c r="H28" s="3">
        <f>_xlfn.COUNTIFS(คีย์!B$5:B$47,1,คีย์!C$5:C$47,6)</f>
        <v>0</v>
      </c>
      <c r="I28" s="95">
        <f t="shared" si="0"/>
        <v>0</v>
      </c>
    </row>
    <row r="29" spans="1:9" ht="24">
      <c r="A29" s="4"/>
      <c r="B29" s="36" t="s">
        <v>73</v>
      </c>
      <c r="C29" s="79"/>
      <c r="D29" s="80"/>
      <c r="E29" s="80"/>
      <c r="F29" s="80"/>
      <c r="G29" s="79"/>
      <c r="H29" s="3">
        <f>_xlfn.COUNTIFS(คีย์!B$5:B$47,1,คีย์!C$5:C$47,15)</f>
        <v>1</v>
      </c>
      <c r="I29" s="95">
        <f t="shared" si="0"/>
        <v>2.3255813953488373</v>
      </c>
    </row>
    <row r="30" spans="1:9" ht="24" hidden="1">
      <c r="A30" s="4"/>
      <c r="B30" s="64" t="s">
        <v>54</v>
      </c>
      <c r="C30" s="79"/>
      <c r="D30" s="80"/>
      <c r="E30" s="80"/>
      <c r="F30" s="80"/>
      <c r="G30" s="79"/>
      <c r="H30" s="3">
        <f>_xlfn.COUNTIFS(คีย์!B$5:B$47,1,คีย์!C$5:C$47,17)</f>
        <v>0</v>
      </c>
      <c r="I30" s="95">
        <f t="shared" si="0"/>
        <v>0</v>
      </c>
    </row>
    <row r="31" spans="1:9" ht="24" hidden="1">
      <c r="A31" s="4"/>
      <c r="B31" s="51" t="s">
        <v>78</v>
      </c>
      <c r="C31" s="79"/>
      <c r="D31" s="80"/>
      <c r="E31" s="80"/>
      <c r="F31" s="80"/>
      <c r="G31" s="79"/>
      <c r="H31" s="3">
        <f>_xlfn.COUNTIFS(คีย์!B$5:B$47,1,คีย์!C$5:C$47,16)</f>
        <v>0</v>
      </c>
      <c r="I31" s="95">
        <f t="shared" si="0"/>
        <v>0</v>
      </c>
    </row>
    <row r="32" spans="1:9" ht="24" hidden="1">
      <c r="A32" s="4"/>
      <c r="B32" s="36" t="s">
        <v>51</v>
      </c>
      <c r="C32" s="79"/>
      <c r="D32" s="80"/>
      <c r="E32" s="80"/>
      <c r="F32" s="80"/>
      <c r="G32" s="79"/>
      <c r="H32" s="3">
        <f>_xlfn.COUNTIFS(คีย์!B$5:B$47,1,คีย์!C$5:C$47,13)</f>
        <v>0</v>
      </c>
      <c r="I32" s="95">
        <f t="shared" si="0"/>
        <v>0</v>
      </c>
    </row>
    <row r="33" spans="1:9" ht="24" hidden="1">
      <c r="A33" s="4"/>
      <c r="B33" s="36" t="s">
        <v>76</v>
      </c>
      <c r="C33" s="79"/>
      <c r="D33" s="80"/>
      <c r="E33" s="80"/>
      <c r="F33" s="80"/>
      <c r="G33" s="79"/>
      <c r="H33" s="3">
        <f>_xlfn.COUNTIFS(คีย์!B$5:B$47,1,คีย์!C$5:C$47,2)</f>
        <v>0</v>
      </c>
      <c r="I33" s="95">
        <f t="shared" si="0"/>
        <v>0</v>
      </c>
    </row>
    <row r="34" spans="1:9" ht="24">
      <c r="A34" s="58"/>
      <c r="B34" s="102" t="s">
        <v>71</v>
      </c>
      <c r="C34" s="84"/>
      <c r="D34" s="93"/>
      <c r="E34" s="93"/>
      <c r="F34" s="93"/>
      <c r="G34" s="84"/>
      <c r="H34" s="57">
        <f>_xlfn.COUNTIFS(คีย์!B$5:B$47,1,คีย์!C5:C47,0)</f>
        <v>1</v>
      </c>
      <c r="I34" s="96">
        <f t="shared" si="0"/>
        <v>2.3255813953488373</v>
      </c>
    </row>
    <row r="35" spans="1:10" ht="24">
      <c r="A35" s="97">
        <v>2</v>
      </c>
      <c r="B35" s="98" t="s">
        <v>66</v>
      </c>
      <c r="C35" s="99"/>
      <c r="D35" s="100"/>
      <c r="E35" s="100"/>
      <c r="F35" s="100"/>
      <c r="G35" s="99"/>
      <c r="H35" s="100">
        <f>SUM(H36:H36)</f>
        <v>1</v>
      </c>
      <c r="I35" s="101">
        <f t="shared" si="0"/>
        <v>2.3255813953488373</v>
      </c>
      <c r="J35" s="67"/>
    </row>
    <row r="36" spans="1:9" ht="24">
      <c r="A36" s="58"/>
      <c r="B36" s="84" t="s">
        <v>46</v>
      </c>
      <c r="C36" s="84"/>
      <c r="D36" s="93"/>
      <c r="E36" s="93"/>
      <c r="F36" s="93"/>
      <c r="G36" s="84"/>
      <c r="H36" s="57">
        <f>_xlfn.COUNTIFS(คีย์!B$5:B$47,4,คีย์!C$5:C$47,4)</f>
        <v>1</v>
      </c>
      <c r="I36" s="96">
        <f t="shared" si="0"/>
        <v>2.3255813953488373</v>
      </c>
    </row>
    <row r="37" spans="1:9" ht="24">
      <c r="A37" s="4"/>
      <c r="B37" s="79"/>
      <c r="C37" s="79"/>
      <c r="D37" s="80"/>
      <c r="E37" s="80"/>
      <c r="F37" s="80"/>
      <c r="G37" s="79"/>
      <c r="H37" s="38"/>
      <c r="I37" s="95"/>
    </row>
    <row r="38" spans="1:9" ht="24">
      <c r="A38" s="4"/>
      <c r="B38" s="79"/>
      <c r="C38" s="79"/>
      <c r="D38" s="80"/>
      <c r="E38" s="80"/>
      <c r="F38" s="80"/>
      <c r="G38" s="79"/>
      <c r="H38" s="38"/>
      <c r="I38" s="95"/>
    </row>
    <row r="39" spans="1:9" ht="24">
      <c r="A39" s="4"/>
      <c r="B39" s="79"/>
      <c r="C39" s="79"/>
      <c r="D39" s="80"/>
      <c r="E39" s="80"/>
      <c r="F39" s="80"/>
      <c r="G39" s="79"/>
      <c r="H39" s="38"/>
      <c r="I39" s="95"/>
    </row>
    <row r="40" spans="1:9" ht="24">
      <c r="A40" s="4"/>
      <c r="B40" s="79"/>
      <c r="C40" s="79"/>
      <c r="D40" s="80"/>
      <c r="E40" s="80"/>
      <c r="F40" s="80"/>
      <c r="G40" s="79"/>
      <c r="H40" s="38"/>
      <c r="I40" s="95"/>
    </row>
    <row r="41" spans="1:9" ht="24">
      <c r="A41" s="4"/>
      <c r="B41" s="79"/>
      <c r="C41" s="79"/>
      <c r="D41" s="80"/>
      <c r="E41" s="80"/>
      <c r="F41" s="80"/>
      <c r="G41" s="79"/>
      <c r="H41" s="38"/>
      <c r="I41" s="95"/>
    </row>
    <row r="42" spans="1:9" ht="24">
      <c r="A42" s="4"/>
      <c r="B42" s="79"/>
      <c r="C42" s="79"/>
      <c r="D42" s="80"/>
      <c r="E42" s="80"/>
      <c r="F42" s="80"/>
      <c r="G42" s="79"/>
      <c r="H42" s="38"/>
      <c r="I42" s="95"/>
    </row>
    <row r="43" spans="1:9" ht="24">
      <c r="A43" s="4"/>
      <c r="B43" s="79"/>
      <c r="C43" s="79"/>
      <c r="D43" s="80"/>
      <c r="E43" s="80"/>
      <c r="F43" s="80"/>
      <c r="G43" s="79"/>
      <c r="H43" s="38"/>
      <c r="I43" s="95"/>
    </row>
    <row r="44" spans="1:9" ht="24">
      <c r="A44" s="4"/>
      <c r="B44" s="79"/>
      <c r="C44" s="79"/>
      <c r="D44" s="80"/>
      <c r="E44" s="80"/>
      <c r="F44" s="80"/>
      <c r="G44" s="79"/>
      <c r="H44" s="38"/>
      <c r="I44" s="95"/>
    </row>
    <row r="45" spans="1:10" ht="24">
      <c r="A45" s="107" t="s">
        <v>6</v>
      </c>
      <c r="B45" s="107"/>
      <c r="C45" s="107"/>
      <c r="D45" s="107"/>
      <c r="E45" s="107"/>
      <c r="F45" s="107"/>
      <c r="G45" s="107"/>
      <c r="H45" s="107"/>
      <c r="I45" s="107"/>
      <c r="J45" s="107"/>
    </row>
    <row r="46" spans="1:10" ht="24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24">
      <c r="A47" s="36" t="s">
        <v>34</v>
      </c>
      <c r="B47" s="5"/>
      <c r="C47" s="5"/>
      <c r="D47" s="5"/>
      <c r="E47" s="5"/>
      <c r="F47" s="5"/>
      <c r="G47" s="5"/>
      <c r="H47" s="5"/>
      <c r="I47" s="5"/>
      <c r="J47" s="5"/>
    </row>
    <row r="48" spans="1:10" ht="24.75" thickBot="1">
      <c r="A48" s="36"/>
      <c r="B48" s="5"/>
      <c r="C48" s="5"/>
      <c r="D48" s="5"/>
      <c r="E48" s="5"/>
      <c r="F48" s="5"/>
      <c r="G48" s="5"/>
      <c r="H48" s="5"/>
      <c r="I48" s="5"/>
      <c r="J48" s="5"/>
    </row>
    <row r="49" spans="1:10" ht="25.5" thickBot="1" thickTop="1">
      <c r="A49" s="37" t="s">
        <v>19</v>
      </c>
      <c r="B49" s="110" t="s">
        <v>70</v>
      </c>
      <c r="C49" s="110"/>
      <c r="D49" s="110"/>
      <c r="E49" s="110"/>
      <c r="F49" s="110"/>
      <c r="G49" s="52"/>
      <c r="H49" s="37" t="s">
        <v>9</v>
      </c>
      <c r="I49" s="37" t="s">
        <v>10</v>
      </c>
      <c r="J49" s="67"/>
    </row>
    <row r="50" spans="1:9" ht="24.75" thickTop="1">
      <c r="A50" s="60">
        <v>3</v>
      </c>
      <c r="B50" s="65" t="s">
        <v>93</v>
      </c>
      <c r="C50" s="2"/>
      <c r="D50" s="38"/>
      <c r="E50" s="38"/>
      <c r="F50" s="38"/>
      <c r="H50" s="60">
        <f>SUM(H51:H68)</f>
        <v>24</v>
      </c>
      <c r="I50" s="66">
        <f aca="true" t="shared" si="1" ref="I50:I69">H50*100/H$71</f>
        <v>55.81395348837209</v>
      </c>
    </row>
    <row r="51" spans="1:9" ht="24">
      <c r="A51" s="4"/>
      <c r="B51" s="79" t="s">
        <v>46</v>
      </c>
      <c r="C51" s="79"/>
      <c r="D51" s="80"/>
      <c r="E51" s="80"/>
      <c r="F51" s="80"/>
      <c r="G51" s="79"/>
      <c r="H51" s="3">
        <f>_xlfn.COUNTIFS(คีย์!B$5:B$47,2,คีย์!C$5:C$47,4)</f>
        <v>6</v>
      </c>
      <c r="I51" s="95">
        <f t="shared" si="1"/>
        <v>13.953488372093023</v>
      </c>
    </row>
    <row r="52" spans="1:9" ht="24">
      <c r="A52" s="4"/>
      <c r="B52" s="36" t="s">
        <v>74</v>
      </c>
      <c r="C52" s="79"/>
      <c r="D52" s="80"/>
      <c r="E52" s="80"/>
      <c r="F52" s="80"/>
      <c r="G52" s="79"/>
      <c r="H52" s="3">
        <f>_xlfn.COUNTIFS(คีย์!B$5:B$47,2,คีย์!C$5:C$47,8)</f>
        <v>4</v>
      </c>
      <c r="I52" s="95">
        <f t="shared" si="1"/>
        <v>9.30232558139535</v>
      </c>
    </row>
    <row r="53" spans="1:9" ht="24">
      <c r="A53" s="4"/>
      <c r="B53" s="36" t="s">
        <v>50</v>
      </c>
      <c r="C53" s="79"/>
      <c r="D53" s="80"/>
      <c r="E53" s="80"/>
      <c r="F53" s="80"/>
      <c r="G53" s="79"/>
      <c r="H53" s="3">
        <f>_xlfn.COUNTIFS(คีย์!B$5:B$47,2,คีย์!C$5:C$47,6)</f>
        <v>3</v>
      </c>
      <c r="I53" s="95">
        <f t="shared" si="1"/>
        <v>6.976744186046512</v>
      </c>
    </row>
    <row r="54" spans="1:9" ht="24">
      <c r="A54" s="38"/>
      <c r="B54" s="36" t="s">
        <v>47</v>
      </c>
      <c r="C54" s="79"/>
      <c r="D54" s="80"/>
      <c r="E54" s="80"/>
      <c r="F54" s="80"/>
      <c r="G54" s="79"/>
      <c r="H54" s="3">
        <f>_xlfn.COUNTIFS(คีย์!B$5:B$47,2,คีย์!C$5:C$47,1)</f>
        <v>2</v>
      </c>
      <c r="I54" s="95">
        <f t="shared" si="1"/>
        <v>4.651162790697675</v>
      </c>
    </row>
    <row r="55" spans="1:9" ht="24" hidden="1">
      <c r="A55" s="38"/>
      <c r="B55" s="36" t="s">
        <v>77</v>
      </c>
      <c r="C55" s="79"/>
      <c r="D55" s="80"/>
      <c r="E55" s="80"/>
      <c r="F55" s="80"/>
      <c r="G55" s="79"/>
      <c r="H55" s="3">
        <f>_xlfn.COUNTIFS(คีย์!B$5:B$47,2,คีย์!C$5:C$47,3)</f>
        <v>0</v>
      </c>
      <c r="I55" s="95">
        <f t="shared" si="1"/>
        <v>0</v>
      </c>
    </row>
    <row r="56" spans="1:9" ht="24" hidden="1">
      <c r="A56" s="4"/>
      <c r="B56" s="36" t="s">
        <v>52</v>
      </c>
      <c r="C56" s="79"/>
      <c r="D56" s="80"/>
      <c r="E56" s="80"/>
      <c r="F56" s="80"/>
      <c r="G56" s="79"/>
      <c r="H56" s="3">
        <f>_xlfn.COUNTIFS(คีย์!B$5:B$47,2,คีย์!C$5:C$47,7)</f>
        <v>0</v>
      </c>
      <c r="I56" s="95">
        <f t="shared" si="1"/>
        <v>0</v>
      </c>
    </row>
    <row r="57" spans="1:9" ht="24">
      <c r="A57" s="4"/>
      <c r="B57" s="36" t="s">
        <v>48</v>
      </c>
      <c r="C57" s="79"/>
      <c r="D57" s="80"/>
      <c r="E57" s="80"/>
      <c r="F57" s="80"/>
      <c r="G57" s="79"/>
      <c r="H57" s="3">
        <f>_xlfn.COUNTIFS(คีย์!B$5:B$47,2,คีย์!C$5:C$47,11)</f>
        <v>2</v>
      </c>
      <c r="I57" s="95">
        <f t="shared" si="1"/>
        <v>4.651162790697675</v>
      </c>
    </row>
    <row r="58" spans="1:9" ht="24" hidden="1">
      <c r="A58" s="4"/>
      <c r="B58" s="36" t="s">
        <v>49</v>
      </c>
      <c r="C58" s="79"/>
      <c r="D58" s="80"/>
      <c r="E58" s="80"/>
      <c r="F58" s="80"/>
      <c r="G58" s="79"/>
      <c r="H58" s="3">
        <f>_xlfn.COUNTIFS(คีย์!B$5:B$47,2,คีย์!C$5:C$47,15)</f>
        <v>0</v>
      </c>
      <c r="I58" s="95">
        <f t="shared" si="1"/>
        <v>0</v>
      </c>
    </row>
    <row r="59" spans="1:9" ht="24" hidden="1">
      <c r="A59" s="4"/>
      <c r="B59" s="36" t="s">
        <v>53</v>
      </c>
      <c r="C59" s="79"/>
      <c r="D59" s="80"/>
      <c r="E59" s="80"/>
      <c r="F59" s="80"/>
      <c r="G59" s="79"/>
      <c r="H59" s="3">
        <f>_xlfn.COUNTIFS(คีย์!B$5:B$47,2,คีย์!C$5:C$47,10)</f>
        <v>0</v>
      </c>
      <c r="I59" s="95">
        <f t="shared" si="1"/>
        <v>0</v>
      </c>
    </row>
    <row r="60" spans="1:9" ht="24" hidden="1">
      <c r="A60" s="4"/>
      <c r="B60" s="36" t="s">
        <v>107</v>
      </c>
      <c r="C60" s="79"/>
      <c r="D60" s="80"/>
      <c r="E60" s="80"/>
      <c r="F60" s="80"/>
      <c r="G60" s="79"/>
      <c r="H60" s="3">
        <f>_xlfn.COUNTIFS(คีย์!B$5:B$47,2,คีย์!C$5:C$47,12)</f>
        <v>0</v>
      </c>
      <c r="I60" s="95">
        <f t="shared" si="1"/>
        <v>0</v>
      </c>
    </row>
    <row r="61" spans="1:9" ht="24" hidden="1">
      <c r="A61" s="4"/>
      <c r="B61" s="36" t="s">
        <v>75</v>
      </c>
      <c r="C61" s="79"/>
      <c r="D61" s="80"/>
      <c r="E61" s="80"/>
      <c r="F61" s="80"/>
      <c r="G61" s="79"/>
      <c r="H61" s="3">
        <f>_xlfn.COUNTIFS(คีย์!B$5:B$47,0,คีย์!C$5:C$47,9)</f>
        <v>0</v>
      </c>
      <c r="I61" s="95">
        <f t="shared" si="1"/>
        <v>0</v>
      </c>
    </row>
    <row r="62" spans="1:9" ht="24" hidden="1">
      <c r="A62" s="4"/>
      <c r="B62" s="36" t="s">
        <v>72</v>
      </c>
      <c r="C62" s="79"/>
      <c r="D62" s="80"/>
      <c r="E62" s="80"/>
      <c r="F62" s="80"/>
      <c r="G62" s="79"/>
      <c r="H62" s="3">
        <f>_xlfn.COUNTIFS(คีย์!B$5:B$47,2,คีย์!C$5:C$47,14)</f>
        <v>0</v>
      </c>
      <c r="I62" s="95">
        <f t="shared" si="1"/>
        <v>0</v>
      </c>
    </row>
    <row r="63" spans="1:9" ht="24" hidden="1">
      <c r="A63" s="4"/>
      <c r="B63" s="36" t="s">
        <v>73</v>
      </c>
      <c r="C63" s="79"/>
      <c r="D63" s="80"/>
      <c r="E63" s="80"/>
      <c r="F63" s="80"/>
      <c r="G63" s="79"/>
      <c r="H63" s="3">
        <f>_xlfn.COUNTIFS(คีย์!B$5:B$47,2,คีย์!C$5:C$47,15)</f>
        <v>0</v>
      </c>
      <c r="I63" s="95">
        <f t="shared" si="1"/>
        <v>0</v>
      </c>
    </row>
    <row r="64" spans="1:9" ht="24">
      <c r="A64" s="4"/>
      <c r="B64" s="51" t="s">
        <v>78</v>
      </c>
      <c r="C64" s="79"/>
      <c r="D64" s="80"/>
      <c r="E64" s="80"/>
      <c r="F64" s="80"/>
      <c r="G64" s="79"/>
      <c r="H64" s="3">
        <f>_xlfn.COUNTIFS(คีย์!B$5:B$47,2,คีย์!C$5:C$47,16)</f>
        <v>2</v>
      </c>
      <c r="I64" s="95">
        <f t="shared" si="1"/>
        <v>4.651162790697675</v>
      </c>
    </row>
    <row r="65" spans="1:9" ht="24" hidden="1">
      <c r="A65" s="4"/>
      <c r="B65" s="36" t="s">
        <v>51</v>
      </c>
      <c r="C65" s="79"/>
      <c r="D65" s="80"/>
      <c r="E65" s="80"/>
      <c r="F65" s="80"/>
      <c r="G65" s="79"/>
      <c r="H65" s="3">
        <f>_xlfn.COUNTIFS(คีย์!B$5:B$47,2,คีย์!C$5:C$47,13)</f>
        <v>0</v>
      </c>
      <c r="I65" s="95">
        <f t="shared" si="1"/>
        <v>0</v>
      </c>
    </row>
    <row r="66" spans="1:9" ht="24" hidden="1">
      <c r="A66" s="4"/>
      <c r="B66" s="36" t="s">
        <v>76</v>
      </c>
      <c r="C66" s="79"/>
      <c r="D66" s="80"/>
      <c r="E66" s="80"/>
      <c r="F66" s="80"/>
      <c r="G66" s="79"/>
      <c r="H66" s="3">
        <f>_xlfn.COUNTIFS(คีย์!B$5:B$47,2,คีย์!C$5:C$47,2)</f>
        <v>0</v>
      </c>
      <c r="I66" s="95">
        <f t="shared" si="1"/>
        <v>0</v>
      </c>
    </row>
    <row r="67" spans="1:9" ht="24">
      <c r="A67" s="4"/>
      <c r="B67" s="64" t="s">
        <v>54</v>
      </c>
      <c r="C67" s="79"/>
      <c r="D67" s="80"/>
      <c r="E67" s="80"/>
      <c r="F67" s="80"/>
      <c r="G67" s="79"/>
      <c r="H67" s="3">
        <f>_xlfn.COUNTIFS(คีย์!B$5:B$47,2,คีย์!C$5:C$47,17)</f>
        <v>1</v>
      </c>
      <c r="I67" s="95">
        <f t="shared" si="1"/>
        <v>2.3255813953488373</v>
      </c>
    </row>
    <row r="68" spans="1:9" ht="24">
      <c r="A68" s="58"/>
      <c r="B68" s="102" t="s">
        <v>71</v>
      </c>
      <c r="C68" s="84"/>
      <c r="D68" s="93"/>
      <c r="E68" s="93"/>
      <c r="F68" s="93"/>
      <c r="G68" s="84"/>
      <c r="H68" s="57">
        <f>_xlfn.COUNTIFS(คีย์!B$5:B$47,2,คีย์!C5:C47,0)</f>
        <v>4</v>
      </c>
      <c r="I68" s="96">
        <f t="shared" si="1"/>
        <v>9.30232558139535</v>
      </c>
    </row>
    <row r="69" spans="1:10" ht="24">
      <c r="A69" s="97">
        <v>4</v>
      </c>
      <c r="B69" s="98" t="s">
        <v>108</v>
      </c>
      <c r="C69" s="99"/>
      <c r="D69" s="100"/>
      <c r="E69" s="100"/>
      <c r="F69" s="100"/>
      <c r="G69" s="99"/>
      <c r="H69" s="100">
        <v>1</v>
      </c>
      <c r="I69" s="101">
        <f t="shared" si="1"/>
        <v>2.3255813953488373</v>
      </c>
      <c r="J69" s="67"/>
    </row>
    <row r="70" spans="1:9" ht="12.75" customHeight="1">
      <c r="A70" s="58"/>
      <c r="B70" s="84"/>
      <c r="C70" s="84"/>
      <c r="D70" s="93"/>
      <c r="E70" s="93"/>
      <c r="F70" s="93"/>
      <c r="G70" s="84"/>
      <c r="H70" s="105"/>
      <c r="I70" s="96"/>
    </row>
    <row r="71" spans="1:10" ht="24.75" thickBot="1">
      <c r="A71" s="9"/>
      <c r="B71" s="108" t="s">
        <v>5</v>
      </c>
      <c r="C71" s="108"/>
      <c r="D71" s="108"/>
      <c r="E71" s="108"/>
      <c r="F71" s="108"/>
      <c r="G71" s="108"/>
      <c r="H71" s="85">
        <f>SUM(H16,H35,H50,H69)</f>
        <v>43</v>
      </c>
      <c r="I71" s="86">
        <f>H71*100/H71</f>
        <v>100</v>
      </c>
      <c r="J71" s="67"/>
    </row>
    <row r="72" spans="1:10" ht="24.75" thickTop="1">
      <c r="A72" s="4"/>
      <c r="B72" s="83"/>
      <c r="C72" s="79"/>
      <c r="D72" s="80"/>
      <c r="E72" s="80"/>
      <c r="F72" s="80"/>
      <c r="G72" s="79"/>
      <c r="H72" s="81"/>
      <c r="I72" s="82"/>
      <c r="J72" s="67"/>
    </row>
    <row r="73" ht="24">
      <c r="A73" s="7" t="s">
        <v>109</v>
      </c>
    </row>
    <row r="74" ht="24">
      <c r="A74" s="7" t="s">
        <v>110</v>
      </c>
    </row>
    <row r="75" ht="24">
      <c r="A75" s="7" t="s">
        <v>111</v>
      </c>
    </row>
    <row r="76" ht="24">
      <c r="A76" s="7"/>
    </row>
  </sheetData>
  <sheetProtection/>
  <mergeCells count="8">
    <mergeCell ref="A1:J1"/>
    <mergeCell ref="B71:G71"/>
    <mergeCell ref="A2:J2"/>
    <mergeCell ref="A3:J3"/>
    <mergeCell ref="A4:J4"/>
    <mergeCell ref="B15:F15"/>
    <mergeCell ref="A45:J45"/>
    <mergeCell ref="B49:F49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="120" zoomScaleNormal="120" zoomScalePageLayoutView="0" workbookViewId="0" topLeftCell="A25">
      <selection activeCell="D35" sqref="D35"/>
    </sheetView>
  </sheetViews>
  <sheetFormatPr defaultColWidth="8.7109375" defaultRowHeight="12.75"/>
  <cols>
    <col min="1" max="3" width="8.7109375" style="1" customWidth="1"/>
    <col min="4" max="4" width="38.57421875" style="1" customWidth="1"/>
    <col min="5" max="5" width="5.57421875" style="1" customWidth="1"/>
    <col min="6" max="6" width="6.00390625" style="1" customWidth="1"/>
    <col min="7" max="7" width="15.140625" style="1" bestFit="1" customWidth="1"/>
    <col min="8" max="8" width="6.57421875" style="1" customWidth="1"/>
    <col min="9" max="16384" width="8.7109375" style="1" customWidth="1"/>
  </cols>
  <sheetData>
    <row r="1" spans="1:7" ht="24">
      <c r="A1" s="107" t="s">
        <v>13</v>
      </c>
      <c r="B1" s="107"/>
      <c r="C1" s="107"/>
      <c r="D1" s="107"/>
      <c r="E1" s="107"/>
      <c r="F1" s="107"/>
      <c r="G1" s="107"/>
    </row>
    <row r="2" spans="1:7" ht="24">
      <c r="A2" s="5"/>
      <c r="B2" s="5"/>
      <c r="C2" s="5"/>
      <c r="D2" s="5"/>
      <c r="E2" s="5"/>
      <c r="F2" s="5"/>
      <c r="G2" s="5"/>
    </row>
    <row r="3" ht="24">
      <c r="A3" s="8" t="s">
        <v>79</v>
      </c>
    </row>
    <row r="4" ht="9" customHeight="1">
      <c r="A4" s="8"/>
    </row>
    <row r="5" ht="24.75" thickBot="1">
      <c r="A5" s="7" t="s">
        <v>89</v>
      </c>
    </row>
    <row r="6" spans="1:7" s="13" customFormat="1" ht="24" thickTop="1">
      <c r="A6" s="111" t="s">
        <v>1</v>
      </c>
      <c r="B6" s="112"/>
      <c r="C6" s="112"/>
      <c r="D6" s="112"/>
      <c r="E6" s="115" t="s">
        <v>113</v>
      </c>
      <c r="F6" s="116"/>
      <c r="G6" s="117"/>
    </row>
    <row r="7" spans="1:7" s="13" customFormat="1" ht="24" thickBot="1">
      <c r="A7" s="113"/>
      <c r="B7" s="114"/>
      <c r="C7" s="114"/>
      <c r="D7" s="114"/>
      <c r="E7" s="14"/>
      <c r="F7" s="14" t="s">
        <v>4</v>
      </c>
      <c r="G7" s="14" t="s">
        <v>11</v>
      </c>
    </row>
    <row r="8" spans="1:7" s="13" customFormat="1" ht="24" thickTop="1">
      <c r="A8" s="74" t="s">
        <v>27</v>
      </c>
      <c r="B8" s="15"/>
      <c r="C8" s="15"/>
      <c r="D8" s="15"/>
      <c r="E8" s="16"/>
      <c r="F8" s="17"/>
      <c r="G8" s="18"/>
    </row>
    <row r="9" spans="1:7" s="13" customFormat="1" ht="23.25">
      <c r="A9" s="19" t="s">
        <v>28</v>
      </c>
      <c r="B9" s="20"/>
      <c r="C9" s="20"/>
      <c r="D9" s="20"/>
      <c r="E9" s="21">
        <f>คีย์!D48</f>
        <v>4.511627906976744</v>
      </c>
      <c r="F9" s="21">
        <f>คีย์!D49</f>
        <v>0.6680495071209628</v>
      </c>
      <c r="G9" s="43" t="str">
        <f>IF(E9&gt;4.5,"มากที่สุด",IF(E9&gt;3.5,"มาก",IF(E9&gt;2.5,"ปานกลาง",IF(E9&gt;1.5,"น้อย",IF(E9&lt;=1.5,"น้อยที่สุด")))))</f>
        <v>มากที่สุด</v>
      </c>
    </row>
    <row r="10" spans="1:7" s="13" customFormat="1" ht="23.25">
      <c r="A10" s="90" t="s">
        <v>80</v>
      </c>
      <c r="B10" s="47"/>
      <c r="C10" s="47"/>
      <c r="D10" s="47"/>
      <c r="E10" s="48">
        <f>คีย์!E48</f>
        <v>4.325581395348837</v>
      </c>
      <c r="F10" s="48">
        <f>คีย์!E49</f>
        <v>0.6803686057172436</v>
      </c>
      <c r="G10" s="56" t="str">
        <f aca="true" t="shared" si="0" ref="G10:G32">IF(E10&gt;4.5,"มากที่สุด",IF(E10&gt;3.5,"มาก",IF(E10&gt;2.5,"ปานกลาง",IF(E10&gt;1.5,"น้อย",IF(E10&lt;=1.5,"น้อยที่สุด")))))</f>
        <v>มาก</v>
      </c>
    </row>
    <row r="11" spans="1:7" s="13" customFormat="1" ht="23.25">
      <c r="A11" s="44" t="s">
        <v>81</v>
      </c>
      <c r="B11" s="47"/>
      <c r="C11" s="47"/>
      <c r="D11" s="69"/>
      <c r="E11" s="48">
        <f>คีย์!F48</f>
        <v>4.238095238095238</v>
      </c>
      <c r="F11" s="48">
        <f>คีย์!F49</f>
        <v>0.7904775898004766</v>
      </c>
      <c r="G11" s="56" t="str">
        <f t="shared" si="0"/>
        <v>มาก</v>
      </c>
    </row>
    <row r="12" spans="1:7" s="13" customFormat="1" ht="23.25">
      <c r="A12" s="72" t="s">
        <v>31</v>
      </c>
      <c r="B12" s="22"/>
      <c r="C12" s="22"/>
      <c r="D12" s="22"/>
      <c r="E12" s="23"/>
      <c r="F12" s="23"/>
      <c r="G12" s="23"/>
    </row>
    <row r="13" spans="1:7" s="13" customFormat="1" ht="23.25">
      <c r="A13" s="40" t="s">
        <v>29</v>
      </c>
      <c r="B13" s="41"/>
      <c r="C13" s="41"/>
      <c r="D13" s="41"/>
      <c r="E13" s="42">
        <f>คีย์!G48</f>
        <v>4.395348837209302</v>
      </c>
      <c r="F13" s="42">
        <f>คีย์!G49</f>
        <v>0.6948632919236003</v>
      </c>
      <c r="G13" s="43" t="str">
        <f t="shared" si="0"/>
        <v>มาก</v>
      </c>
    </row>
    <row r="14" spans="1:7" s="13" customFormat="1" ht="23.25">
      <c r="A14" s="87" t="s">
        <v>30</v>
      </c>
      <c r="B14" s="88"/>
      <c r="C14" s="88"/>
      <c r="D14" s="88"/>
      <c r="E14" s="89">
        <f>คีย์!H48</f>
        <v>4.372093023255814</v>
      </c>
      <c r="F14" s="89">
        <f>คีย์!H49</f>
        <v>0.6908674951845302</v>
      </c>
      <c r="G14" s="91" t="str">
        <f t="shared" si="0"/>
        <v>มาก</v>
      </c>
    </row>
    <row r="15" spans="1:7" s="13" customFormat="1" ht="23.25">
      <c r="A15" s="72" t="s">
        <v>32</v>
      </c>
      <c r="B15" s="22"/>
      <c r="C15" s="22"/>
      <c r="D15" s="22"/>
      <c r="E15" s="23"/>
      <c r="F15" s="23"/>
      <c r="G15" s="23"/>
    </row>
    <row r="16" spans="1:7" s="13" customFormat="1" ht="23.25">
      <c r="A16" s="19" t="s">
        <v>36</v>
      </c>
      <c r="B16" s="20"/>
      <c r="C16" s="20"/>
      <c r="D16" s="20"/>
      <c r="E16" s="21">
        <f>คีย์!I48</f>
        <v>4.261904761904762</v>
      </c>
      <c r="F16" s="21">
        <f>คีย์!I49</f>
        <v>0.7344991261521241</v>
      </c>
      <c r="G16" s="24" t="str">
        <f t="shared" si="0"/>
        <v>มาก</v>
      </c>
    </row>
    <row r="17" spans="1:7" s="13" customFormat="1" ht="23.25">
      <c r="A17" s="90" t="s">
        <v>37</v>
      </c>
      <c r="B17" s="47"/>
      <c r="C17" s="47"/>
      <c r="D17" s="92"/>
      <c r="E17" s="48">
        <f>คีย์!J48</f>
        <v>4.325581395348837</v>
      </c>
      <c r="F17" s="48">
        <f>คีย์!J49</f>
        <v>0.7145071639001764</v>
      </c>
      <c r="G17" s="56" t="str">
        <f t="shared" si="0"/>
        <v>มาก</v>
      </c>
    </row>
    <row r="18" spans="1:7" s="13" customFormat="1" ht="23.25">
      <c r="A18" s="90" t="s">
        <v>38</v>
      </c>
      <c r="B18" s="47"/>
      <c r="C18" s="47"/>
      <c r="D18" s="47"/>
      <c r="E18" s="48">
        <f>คีย์!K48</f>
        <v>4.511627906976744</v>
      </c>
      <c r="F18" s="48">
        <f>คีย์!K49</f>
        <v>0.5924964546108829</v>
      </c>
      <c r="G18" s="56" t="str">
        <f t="shared" si="0"/>
        <v>มากที่สุด</v>
      </c>
    </row>
    <row r="19" spans="1:7" s="13" customFormat="1" ht="23.25">
      <c r="A19" s="90" t="s">
        <v>39</v>
      </c>
      <c r="B19" s="47"/>
      <c r="C19" s="47"/>
      <c r="D19" s="47"/>
      <c r="E19" s="48">
        <f>คีย์!L48</f>
        <v>4.511627906976744</v>
      </c>
      <c r="F19" s="48">
        <f>คีย์!L49</f>
        <v>0.5508475298187497</v>
      </c>
      <c r="G19" s="56" t="str">
        <f t="shared" si="0"/>
        <v>มากที่สุด</v>
      </c>
    </row>
    <row r="20" spans="1:7" s="13" customFormat="1" ht="23.25">
      <c r="A20" s="90" t="s">
        <v>40</v>
      </c>
      <c r="B20" s="47"/>
      <c r="C20" s="47"/>
      <c r="D20" s="47"/>
      <c r="E20" s="48">
        <f>คีย์!M48</f>
        <v>4.5813953488372094</v>
      </c>
      <c r="F20" s="48">
        <f>คีย์!M49</f>
        <v>0.6630577845799999</v>
      </c>
      <c r="G20" s="56" t="str">
        <f t="shared" si="0"/>
        <v>มากที่สุด</v>
      </c>
    </row>
    <row r="21" spans="1:7" s="13" customFormat="1" ht="23.25">
      <c r="A21" s="44" t="s">
        <v>41</v>
      </c>
      <c r="B21" s="45"/>
      <c r="C21" s="45"/>
      <c r="D21" s="45"/>
      <c r="E21" s="46">
        <f>คีย์!N48</f>
        <v>4.372093023255814</v>
      </c>
      <c r="F21" s="46">
        <f>คีย์!N49</f>
        <v>0.7245115206272392</v>
      </c>
      <c r="G21" s="55" t="str">
        <f t="shared" si="0"/>
        <v>มาก</v>
      </c>
    </row>
    <row r="22" spans="1:7" s="13" customFormat="1" ht="23.25">
      <c r="A22" s="73" t="s">
        <v>82</v>
      </c>
      <c r="B22" s="22"/>
      <c r="C22" s="22"/>
      <c r="D22" s="22"/>
      <c r="E22" s="68"/>
      <c r="F22" s="68"/>
      <c r="G22" s="23"/>
    </row>
    <row r="23" spans="1:7" s="13" customFormat="1" ht="23.25">
      <c r="A23" s="19" t="s">
        <v>83</v>
      </c>
      <c r="B23" s="20"/>
      <c r="C23" s="20"/>
      <c r="D23" s="20"/>
      <c r="E23" s="21">
        <f>คีย์!O48</f>
        <v>4.325581395348837</v>
      </c>
      <c r="F23" s="21">
        <f>คีย์!O49</f>
        <v>0.6444240777830841</v>
      </c>
      <c r="G23" s="24" t="str">
        <f t="shared" si="0"/>
        <v>มาก</v>
      </c>
    </row>
    <row r="24" spans="1:7" s="13" customFormat="1" ht="23.25">
      <c r="A24" s="40" t="s">
        <v>84</v>
      </c>
      <c r="B24" s="41"/>
      <c r="C24" s="41"/>
      <c r="D24" s="41"/>
      <c r="E24" s="42"/>
      <c r="F24" s="42"/>
      <c r="G24" s="43"/>
    </row>
    <row r="25" spans="1:7" s="13" customFormat="1" ht="23.25">
      <c r="A25" s="44" t="s">
        <v>85</v>
      </c>
      <c r="B25" s="45"/>
      <c r="C25" s="45"/>
      <c r="D25" s="45"/>
      <c r="E25" s="46">
        <f>คีย์!P48</f>
        <v>4.372093023255814</v>
      </c>
      <c r="F25" s="46">
        <f>คีย์!P49</f>
        <v>0.618109861322768</v>
      </c>
      <c r="G25" s="55" t="str">
        <f t="shared" si="0"/>
        <v>มาก</v>
      </c>
    </row>
    <row r="26" spans="1:7" s="13" customFormat="1" ht="23.25">
      <c r="A26" s="40" t="s">
        <v>86</v>
      </c>
      <c r="B26" s="41"/>
      <c r="C26" s="41"/>
      <c r="D26" s="41"/>
      <c r="E26" s="42"/>
      <c r="F26" s="42"/>
      <c r="G26" s="43"/>
    </row>
    <row r="27" spans="1:7" s="13" customFormat="1" ht="23.25">
      <c r="A27" s="87" t="s">
        <v>87</v>
      </c>
      <c r="B27" s="88"/>
      <c r="C27" s="88"/>
      <c r="D27" s="88"/>
      <c r="E27" s="89">
        <f>คีย์!Q48</f>
        <v>4.558139534883721</v>
      </c>
      <c r="F27" s="89">
        <f>คีย์!Q49</f>
        <v>0.7004191119946663</v>
      </c>
      <c r="G27" s="55" t="str">
        <f t="shared" si="0"/>
        <v>มากที่สุด</v>
      </c>
    </row>
    <row r="28" spans="1:7" s="13" customFormat="1" ht="23.25">
      <c r="A28" s="72" t="s">
        <v>91</v>
      </c>
      <c r="B28" s="22"/>
      <c r="C28" s="22"/>
      <c r="D28" s="22"/>
      <c r="E28" s="68"/>
      <c r="F28" s="68"/>
      <c r="G28" s="23"/>
    </row>
    <row r="29" spans="1:7" s="13" customFormat="1" ht="23.25">
      <c r="A29" s="19" t="s">
        <v>42</v>
      </c>
      <c r="B29" s="20"/>
      <c r="C29" s="20"/>
      <c r="D29" s="20"/>
      <c r="E29" s="21">
        <f>คีย์!R48</f>
        <v>4.209302325581396</v>
      </c>
      <c r="F29" s="21">
        <f>คีย์!R49</f>
        <v>0.6746476870642402</v>
      </c>
      <c r="G29" s="24" t="str">
        <f t="shared" si="0"/>
        <v>มาก</v>
      </c>
    </row>
    <row r="30" spans="1:7" s="13" customFormat="1" ht="23.25">
      <c r="A30" s="90" t="s">
        <v>43</v>
      </c>
      <c r="B30" s="47"/>
      <c r="C30" s="47"/>
      <c r="D30" s="47"/>
      <c r="E30" s="48">
        <f>คีย์!S48</f>
        <v>4.046511627906977</v>
      </c>
      <c r="F30" s="48">
        <f>คีย์!S49</f>
        <v>0.7222151233430262</v>
      </c>
      <c r="G30" s="56" t="str">
        <f t="shared" si="0"/>
        <v>มาก</v>
      </c>
    </row>
    <row r="31" spans="1:7" s="13" customFormat="1" ht="23.25">
      <c r="A31" s="90" t="s">
        <v>44</v>
      </c>
      <c r="B31" s="47"/>
      <c r="C31" s="47"/>
      <c r="D31" s="47"/>
      <c r="E31" s="48">
        <f>คีย์!T48</f>
        <v>4.209302325581396</v>
      </c>
      <c r="F31" s="48">
        <f>คีย์!T49</f>
        <v>0.741881120462857</v>
      </c>
      <c r="G31" s="56" t="str">
        <f t="shared" si="0"/>
        <v>มาก</v>
      </c>
    </row>
    <row r="32" spans="1:7" s="13" customFormat="1" ht="24" thickBot="1">
      <c r="A32" s="19" t="s">
        <v>45</v>
      </c>
      <c r="B32" s="20"/>
      <c r="C32" s="20"/>
      <c r="D32" s="20"/>
      <c r="E32" s="21">
        <f>คีย์!U48</f>
        <v>4.209302325581396</v>
      </c>
      <c r="F32" s="21">
        <f>คีย์!U49</f>
        <v>0.7090617386942949</v>
      </c>
      <c r="G32" s="24" t="str">
        <f t="shared" si="0"/>
        <v>มาก</v>
      </c>
    </row>
    <row r="33" spans="1:7" s="13" customFormat="1" ht="24.75" thickBot="1" thickTop="1">
      <c r="A33" s="118" t="s">
        <v>5</v>
      </c>
      <c r="B33" s="119"/>
      <c r="C33" s="119"/>
      <c r="D33" s="120"/>
      <c r="E33" s="25">
        <f>คีย์!W48</f>
        <v>4.352067183462532</v>
      </c>
      <c r="F33" s="25">
        <f>คีย์!W49</f>
        <v>0.6929006336256803</v>
      </c>
      <c r="G33" s="26" t="str">
        <f>IF(E33&gt;4.5,"มากที่สุด",IF(E33&gt;3.5,"มาก",IF(E33&gt;2.5,"ปานกลาง",IF(E33&gt;1.5,"น้อย",IF(E33&lt;=1.5,"น้อยที่สุด")))))</f>
        <v>มาก</v>
      </c>
    </row>
    <row r="34" spans="1:7" s="13" customFormat="1" ht="24" thickTop="1">
      <c r="A34" s="121"/>
      <c r="B34" s="121"/>
      <c r="C34" s="121"/>
      <c r="D34" s="121"/>
      <c r="E34" s="121"/>
      <c r="F34" s="121"/>
      <c r="G34" s="121"/>
    </row>
    <row r="35" spans="1:7" s="13" customFormat="1" ht="23.25">
      <c r="A35" s="53"/>
      <c r="B35" s="53"/>
      <c r="C35" s="53"/>
      <c r="D35" s="53"/>
      <c r="E35" s="54"/>
      <c r="F35" s="54"/>
      <c r="G35" s="53"/>
    </row>
    <row r="36" ht="24">
      <c r="A36" s="7"/>
    </row>
    <row r="37" ht="24">
      <c r="A37" s="7"/>
    </row>
  </sheetData>
  <sheetProtection/>
  <mergeCells count="5">
    <mergeCell ref="A1:G1"/>
    <mergeCell ref="A6:D7"/>
    <mergeCell ref="E6:G6"/>
    <mergeCell ref="A33:D33"/>
    <mergeCell ref="A34:G34"/>
  </mergeCells>
  <printOptions/>
  <pageMargins left="0.5905511811023623" right="0.5905511811023623" top="0.7086614173228347" bottom="0.7086614173228347" header="0.31496062992125984" footer="0.31496062992125984"/>
  <pageSetup horizontalDpi="600" verticalDpi="600" orientation="portrait" paperSize="9" r:id="rId3"/>
  <legacyDrawing r:id="rId2"/>
  <oleObjects>
    <oleObject progId="Equation.3" shapeId="108386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="130" zoomScaleNormal="130" zoomScalePageLayoutView="0" workbookViewId="0" topLeftCell="A1">
      <selection activeCell="A6" sqref="A6"/>
    </sheetView>
  </sheetViews>
  <sheetFormatPr defaultColWidth="8.7109375" defaultRowHeight="12.75"/>
  <cols>
    <col min="1" max="1" width="4.57421875" style="1" customWidth="1"/>
    <col min="2" max="2" width="80.28125" style="1" customWidth="1"/>
    <col min="3" max="3" width="7.00390625" style="5" bestFit="1" customWidth="1"/>
    <col min="4" max="4" width="1.7109375" style="1" customWidth="1"/>
    <col min="5" max="16384" width="8.7109375" style="1" customWidth="1"/>
  </cols>
  <sheetData>
    <row r="1" spans="1:7" ht="24">
      <c r="A1" s="122" t="s">
        <v>12</v>
      </c>
      <c r="B1" s="122"/>
      <c r="C1" s="122"/>
      <c r="D1" s="39"/>
      <c r="E1" s="39"/>
      <c r="F1" s="39"/>
      <c r="G1" s="39"/>
    </row>
    <row r="2" spans="1:7" ht="24">
      <c r="A2" s="35"/>
      <c r="B2" s="35"/>
      <c r="C2" s="35"/>
      <c r="D2" s="39"/>
      <c r="E2" s="39"/>
      <c r="F2" s="39"/>
      <c r="G2" s="39"/>
    </row>
    <row r="3" spans="1:7" ht="24">
      <c r="A3" s="70" t="s">
        <v>92</v>
      </c>
      <c r="B3" s="35"/>
      <c r="C3" s="35"/>
      <c r="D3" s="39"/>
      <c r="E3" s="39"/>
      <c r="F3" s="39"/>
      <c r="G3" s="39"/>
    </row>
    <row r="4" spans="1:7" ht="24">
      <c r="A4" s="70" t="s">
        <v>114</v>
      </c>
      <c r="B4" s="35"/>
      <c r="C4" s="35"/>
      <c r="D4" s="39"/>
      <c r="E4" s="39"/>
      <c r="F4" s="39"/>
      <c r="G4" s="39"/>
    </row>
    <row r="5" spans="1:7" ht="24">
      <c r="A5" s="70" t="s">
        <v>115</v>
      </c>
      <c r="B5" s="35"/>
      <c r="C5" s="35"/>
      <c r="D5" s="39"/>
      <c r="E5" s="39"/>
      <c r="F5" s="39"/>
      <c r="G5" s="39"/>
    </row>
    <row r="6" spans="1:7" ht="24">
      <c r="A6" s="70" t="s">
        <v>128</v>
      </c>
      <c r="B6" s="35"/>
      <c r="C6" s="35"/>
      <c r="D6" s="39"/>
      <c r="E6" s="39"/>
      <c r="F6" s="39"/>
      <c r="G6" s="39"/>
    </row>
    <row r="7" spans="1:7" ht="24">
      <c r="A7" s="11"/>
      <c r="B7" s="11"/>
      <c r="C7" s="35"/>
      <c r="D7" s="10"/>
      <c r="E7" s="10"/>
      <c r="F7" s="10"/>
      <c r="G7" s="10"/>
    </row>
    <row r="8" ht="24">
      <c r="A8" s="2" t="s">
        <v>35</v>
      </c>
    </row>
    <row r="9" ht="12" customHeight="1" thickBot="1">
      <c r="A9" s="2"/>
    </row>
    <row r="10" spans="1:3" ht="25.5" thickBot="1" thickTop="1">
      <c r="A10" s="59" t="s">
        <v>19</v>
      </c>
      <c r="B10" s="37" t="s">
        <v>1</v>
      </c>
      <c r="C10" s="37" t="s">
        <v>2</v>
      </c>
    </row>
    <row r="11" spans="1:3" ht="24.75" thickTop="1">
      <c r="A11" s="6">
        <v>1</v>
      </c>
      <c r="B11" s="1" t="s">
        <v>94</v>
      </c>
      <c r="C11" s="5">
        <v>2</v>
      </c>
    </row>
    <row r="12" spans="1:3" ht="48">
      <c r="A12" s="104">
        <v>2</v>
      </c>
      <c r="B12" s="103" t="s">
        <v>95</v>
      </c>
      <c r="C12" s="3">
        <v>1</v>
      </c>
    </row>
    <row r="13" spans="1:3" ht="24">
      <c r="A13" s="3">
        <v>3</v>
      </c>
      <c r="B13" s="4" t="s">
        <v>96</v>
      </c>
      <c r="C13" s="3">
        <v>1</v>
      </c>
    </row>
    <row r="14" spans="1:3" ht="24">
      <c r="A14" s="5">
        <v>4</v>
      </c>
      <c r="B14" s="4" t="s">
        <v>97</v>
      </c>
      <c r="C14" s="3">
        <v>1</v>
      </c>
    </row>
    <row r="15" spans="1:3" ht="24">
      <c r="A15" s="5">
        <v>5</v>
      </c>
      <c r="B15" s="4" t="s">
        <v>98</v>
      </c>
      <c r="C15" s="3">
        <v>1</v>
      </c>
    </row>
    <row r="16" spans="1:3" ht="24">
      <c r="A16" s="5">
        <v>6</v>
      </c>
      <c r="B16" s="4" t="s">
        <v>99</v>
      </c>
      <c r="C16" s="3">
        <v>1</v>
      </c>
    </row>
    <row r="17" spans="1:3" ht="24">
      <c r="A17" s="5">
        <v>7</v>
      </c>
      <c r="B17" s="4" t="s">
        <v>101</v>
      </c>
      <c r="C17" s="3">
        <v>1</v>
      </c>
    </row>
    <row r="18" spans="1:3" ht="24">
      <c r="A18" s="5">
        <v>8</v>
      </c>
      <c r="B18" s="4" t="s">
        <v>102</v>
      </c>
      <c r="C18" s="5">
        <v>1</v>
      </c>
    </row>
    <row r="19" spans="1:4" ht="24">
      <c r="A19" s="57">
        <v>9</v>
      </c>
      <c r="B19" s="58" t="s">
        <v>103</v>
      </c>
      <c r="C19" s="57">
        <v>1</v>
      </c>
      <c r="D19" s="58"/>
    </row>
    <row r="20" spans="1:3" ht="24">
      <c r="A20" s="3"/>
      <c r="B20" s="4"/>
      <c r="C20" s="3"/>
    </row>
    <row r="21" spans="1:3" ht="24">
      <c r="A21" s="3"/>
      <c r="B21" s="4"/>
      <c r="C21" s="3"/>
    </row>
    <row r="22" spans="1:3" ht="24">
      <c r="A22" s="5"/>
      <c r="B22" s="4"/>
      <c r="C22" s="3"/>
    </row>
  </sheetData>
  <sheetProtection/>
  <mergeCells count="1">
    <mergeCell ref="A1:C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GRAD</cp:lastModifiedBy>
  <cp:lastPrinted>2012-12-24T02:34:18Z</cp:lastPrinted>
  <dcterms:created xsi:type="dcterms:W3CDTF">2006-03-16T15:57:13Z</dcterms:created>
  <dcterms:modified xsi:type="dcterms:W3CDTF">2013-05-29T07:11:20Z</dcterms:modified>
  <cp:category/>
  <cp:version/>
  <cp:contentType/>
  <cp:contentStatus/>
</cp:coreProperties>
</file>